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135" windowWidth="14175" windowHeight="12045" tabRatio="601"/>
  </bookViews>
  <sheets>
    <sheet name="Asia" sheetId="1" r:id="rId1"/>
    <sheet name="Africa" sheetId="8" r:id="rId2"/>
    <sheet name="Europe" sheetId="6" r:id="rId3"/>
    <sheet name="America" sheetId="7" r:id="rId4"/>
    <sheet name="Oceania" sheetId="9" r:id="rId5"/>
  </sheets>
  <externalReferences>
    <externalReference r:id="rId6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3">America!$A$1:$AC$179</definedName>
    <definedName name="_xlnm.Print_Area" localSheetId="0">Asia!$A$1:$BC$178</definedName>
    <definedName name="_xlnm.Print_Area" localSheetId="2">Europe!$A$1:$AG$179</definedName>
    <definedName name="_xlnm.Print_Area" localSheetId="4">Oceania!$A$1:$O$178</definedName>
    <definedName name="_xlnm.Print_Titles" localSheetId="1">Africa!$A:$B</definedName>
    <definedName name="_xlnm.Print_Titles" localSheetId="3">America!$A:$B</definedName>
    <definedName name="_xlnm.Print_Titles" localSheetId="0">Asia!$A:$B</definedName>
    <definedName name="_xlnm.Print_Titles" localSheetId="2">Europe!$A:$B</definedName>
    <definedName name="_xlnm.Print_Titles" localSheetId="4">Oceania!$A:$B</definedName>
    <definedName name="ttas">[1]CONSULTA_DESAGREGADA!#REF!</definedName>
  </definedNames>
  <calcPr calcId="125725"/>
</workbook>
</file>

<file path=xl/calcChain.xml><?xml version="1.0" encoding="utf-8"?>
<calcChain xmlns="http://schemas.openxmlformats.org/spreadsheetml/2006/main">
  <c r="AK178" i="1"/>
  <c r="U178" i="6"/>
  <c r="Q178"/>
  <c r="I178"/>
  <c r="I156"/>
  <c r="G178"/>
  <c r="M178" i="9" l="1"/>
  <c r="M161"/>
  <c r="G178" l="1"/>
  <c r="G161"/>
  <c r="O178" i="7"/>
  <c r="O157"/>
  <c r="O156"/>
  <c r="O155"/>
  <c r="O154"/>
  <c r="O153"/>
  <c r="O152"/>
  <c r="O151"/>
  <c r="K178" l="1"/>
  <c r="K160"/>
  <c r="I178"/>
  <c r="I156"/>
  <c r="U159" i="6"/>
  <c r="U160"/>
  <c r="S178"/>
  <c r="S161"/>
  <c r="Q159"/>
  <c r="O178"/>
  <c r="O160"/>
  <c r="O159"/>
  <c r="M178"/>
  <c r="M160"/>
  <c r="K178"/>
  <c r="J178"/>
  <c r="K156"/>
  <c r="K153"/>
  <c r="K150"/>
  <c r="J156"/>
  <c r="J153"/>
  <c r="J144"/>
  <c r="J141"/>
  <c r="H177"/>
  <c r="H176"/>
  <c r="H175"/>
  <c r="H174"/>
  <c r="G159"/>
  <c r="G161" i="8" l="1"/>
  <c r="G160"/>
  <c r="G159"/>
  <c r="G158"/>
  <c r="G157"/>
  <c r="G156"/>
  <c r="G155"/>
  <c r="G154"/>
  <c r="G153"/>
  <c r="G152"/>
  <c r="G151"/>
  <c r="G150"/>
  <c r="G178"/>
  <c r="F178"/>
  <c r="I178" l="1"/>
  <c r="I161"/>
  <c r="K178"/>
  <c r="K160"/>
  <c r="M178"/>
  <c r="M159"/>
  <c r="O138"/>
  <c r="AU177" i="1"/>
  <c r="AU176"/>
  <c r="AU175"/>
  <c r="AT177"/>
  <c r="AU138"/>
  <c r="AU126"/>
  <c r="AU114"/>
  <c r="AU102"/>
  <c r="AU90"/>
  <c r="AU78"/>
  <c r="AU66"/>
  <c r="AS178"/>
  <c r="AS161"/>
  <c r="AS160"/>
  <c r="AQ177"/>
  <c r="AQ138"/>
  <c r="AM178"/>
  <c r="AM161"/>
  <c r="AM160"/>
  <c r="AK159"/>
  <c r="AI178"/>
  <c r="AI161"/>
  <c r="AI160"/>
  <c r="AE178"/>
  <c r="AE158"/>
  <c r="AE159"/>
  <c r="AA178" l="1"/>
  <c r="AA160"/>
  <c r="Y178"/>
  <c r="Y159"/>
  <c r="W178"/>
  <c r="W161"/>
  <c r="U178"/>
  <c r="U160"/>
  <c r="S178"/>
  <c r="S161"/>
  <c r="Q178"/>
  <c r="Q161"/>
  <c r="O178"/>
  <c r="O161"/>
  <c r="I159" i="9"/>
  <c r="I160"/>
  <c r="M178" i="1" l="1"/>
  <c r="M161"/>
  <c r="M160"/>
  <c r="G178"/>
  <c r="G161"/>
  <c r="K178"/>
  <c r="K161"/>
  <c r="D178" i="9"/>
  <c r="D178" i="7"/>
  <c r="D178" i="6"/>
  <c r="D178" i="8"/>
  <c r="D178" i="1"/>
  <c r="D161" i="9"/>
  <c r="D161" i="7"/>
  <c r="D161" i="6"/>
  <c r="D161" i="8"/>
  <c r="D161" i="1"/>
  <c r="AY177"/>
  <c r="AY138"/>
  <c r="BA177" l="1"/>
  <c r="AS176"/>
  <c r="AS159"/>
  <c r="AS158"/>
  <c r="AS157"/>
  <c r="AS156"/>
  <c r="AS155"/>
  <c r="AS154"/>
  <c r="AS153"/>
  <c r="AS152"/>
  <c r="AS151"/>
  <c r="AS150"/>
  <c r="AS149"/>
  <c r="AS148"/>
  <c r="AS147"/>
  <c r="AS146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N177" i="9"/>
  <c r="BA145" i="1" l="1"/>
  <c r="BA144"/>
  <c r="BA143"/>
  <c r="BA142"/>
  <c r="BA141"/>
  <c r="BA140"/>
  <c r="BA139"/>
  <c r="BA138"/>
  <c r="O149" i="9"/>
  <c r="O148"/>
  <c r="O147"/>
  <c r="O157"/>
  <c r="O156"/>
  <c r="O155"/>
  <c r="O154"/>
  <c r="O153"/>
  <c r="O152"/>
  <c r="O151"/>
  <c r="O150"/>
  <c r="O146"/>
  <c r="O145"/>
  <c r="O142"/>
  <c r="O141"/>
  <c r="O140"/>
  <c r="M160"/>
  <c r="I158"/>
  <c r="G160"/>
  <c r="G159"/>
  <c r="D160"/>
  <c r="I155" i="7"/>
  <c r="I154"/>
  <c r="D160"/>
  <c r="S160" i="6"/>
  <c r="M159"/>
  <c r="G158" l="1"/>
  <c r="D160"/>
  <c r="M158" i="8"/>
  <c r="I160"/>
  <c r="D160"/>
  <c r="AA159" i="1"/>
  <c r="Y158"/>
  <c r="W160"/>
  <c r="U159"/>
  <c r="S160"/>
  <c r="Q160"/>
  <c r="O160"/>
  <c r="O159"/>
  <c r="O158"/>
  <c r="K160"/>
  <c r="G160"/>
  <c r="D160"/>
  <c r="G159"/>
  <c r="K159"/>
  <c r="M159"/>
  <c r="Q159"/>
  <c r="S159"/>
  <c r="U158"/>
  <c r="W159"/>
  <c r="AA158"/>
  <c r="AE153"/>
  <c r="AE154"/>
  <c r="AE155"/>
  <c r="AE156"/>
  <c r="AE157"/>
  <c r="AI159"/>
  <c r="AM158"/>
  <c r="AM159"/>
  <c r="I159" i="8"/>
  <c r="K159"/>
  <c r="G157" i="6"/>
  <c r="M158"/>
  <c r="O158"/>
  <c r="Q158"/>
  <c r="S157"/>
  <c r="S158"/>
  <c r="S159"/>
  <c r="U156"/>
  <c r="U157"/>
  <c r="U158"/>
  <c r="G156" i="7"/>
  <c r="G157"/>
  <c r="K156"/>
  <c r="K157"/>
  <c r="K158"/>
  <c r="K159"/>
  <c r="G157" i="9"/>
  <c r="G158"/>
  <c r="I156"/>
  <c r="I157"/>
  <c r="M157"/>
  <c r="M158"/>
  <c r="M159"/>
  <c r="Z156" i="6" l="1"/>
  <c r="AA156" s="1"/>
  <c r="Z153"/>
  <c r="AA153" s="1"/>
  <c r="D159" i="9" l="1"/>
  <c r="D158"/>
  <c r="D159" i="7"/>
  <c r="D158"/>
  <c r="D159" i="6"/>
  <c r="D158"/>
  <c r="D159" i="8"/>
  <c r="D158"/>
  <c r="D159" i="1"/>
  <c r="AJ153"/>
  <c r="AJ156" s="1"/>
  <c r="AJ147"/>
  <c r="AJ144"/>
  <c r="AJ141"/>
  <c r="AJ129"/>
  <c r="AJ132" s="1"/>
  <c r="AJ135" s="1"/>
  <c r="AJ120"/>
  <c r="AJ123" s="1"/>
  <c r="AJ117"/>
  <c r="AJ105"/>
  <c r="AJ108" s="1"/>
  <c r="AJ111" s="1"/>
  <c r="AJ99"/>
  <c r="AJ96"/>
  <c r="AJ93"/>
  <c r="AJ84"/>
  <c r="AJ87" s="1"/>
  <c r="AJ81"/>
  <c r="AJ72"/>
  <c r="AJ48"/>
  <c r="Q157" i="6" l="1"/>
  <c r="O157"/>
  <c r="O156"/>
  <c r="O155"/>
  <c r="O154"/>
  <c r="O153"/>
  <c r="O152"/>
  <c r="O151"/>
  <c r="O150"/>
  <c r="O149"/>
  <c r="M157"/>
  <c r="I153"/>
  <c r="G156"/>
  <c r="I158" i="8"/>
  <c r="K158"/>
  <c r="AC146" i="1"/>
  <c r="AC145"/>
  <c r="AC158"/>
  <c r="AC157"/>
  <c r="AA157"/>
  <c r="AI158"/>
  <c r="O157"/>
  <c r="U157"/>
  <c r="W158"/>
  <c r="Q158"/>
  <c r="S158"/>
  <c r="AM157"/>
  <c r="M157" i="8"/>
  <c r="AK156" i="1"/>
  <c r="AK153"/>
  <c r="Y157" l="1"/>
  <c r="G158"/>
  <c r="M158"/>
  <c r="K158"/>
  <c r="N178" i="9"/>
  <c r="O178" s="1"/>
  <c r="L178"/>
  <c r="H178"/>
  <c r="I178" s="1"/>
  <c r="F178"/>
  <c r="V178" i="7"/>
  <c r="R178"/>
  <c r="S178" s="1"/>
  <c r="N178"/>
  <c r="J178"/>
  <c r="H178"/>
  <c r="F178"/>
  <c r="G178" s="1"/>
  <c r="Z178" i="6"/>
  <c r="AA178" s="1"/>
  <c r="T178"/>
  <c r="R178"/>
  <c r="P178"/>
  <c r="N178"/>
  <c r="L178"/>
  <c r="H178"/>
  <c r="F178"/>
  <c r="L178" i="8"/>
  <c r="J178"/>
  <c r="H178"/>
  <c r="AR178" i="1"/>
  <c r="AL178"/>
  <c r="AJ178"/>
  <c r="AH178"/>
  <c r="AD178"/>
  <c r="AB178"/>
  <c r="AC178" s="1"/>
  <c r="Z178"/>
  <c r="X178"/>
  <c r="V178"/>
  <c r="T178"/>
  <c r="R178"/>
  <c r="P178"/>
  <c r="N178"/>
  <c r="L178"/>
  <c r="J178"/>
  <c r="H178"/>
  <c r="I178" s="1"/>
  <c r="F178"/>
  <c r="C178" i="9"/>
  <c r="C178" i="7"/>
  <c r="C178" i="6"/>
  <c r="C178" i="8"/>
  <c r="D157" i="9"/>
  <c r="D156"/>
  <c r="D155"/>
  <c r="D154"/>
  <c r="D153"/>
  <c r="D152"/>
  <c r="D151"/>
  <c r="D150"/>
  <c r="D157" i="7"/>
  <c r="D156"/>
  <c r="D155"/>
  <c r="D154"/>
  <c r="D153"/>
  <c r="D152"/>
  <c r="D151"/>
  <c r="D150"/>
  <c r="D157" i="6"/>
  <c r="D156"/>
  <c r="D155"/>
  <c r="D154"/>
  <c r="D153"/>
  <c r="D152"/>
  <c r="D151"/>
  <c r="D150"/>
  <c r="D157" i="8"/>
  <c r="D156"/>
  <c r="D155"/>
  <c r="D154"/>
  <c r="D153"/>
  <c r="D152"/>
  <c r="D151"/>
  <c r="D150"/>
  <c r="C178" i="1"/>
  <c r="D158"/>
  <c r="I177" i="7"/>
  <c r="H177"/>
  <c r="I150"/>
  <c r="I151"/>
  <c r="I152"/>
  <c r="I153"/>
  <c r="I144"/>
  <c r="I145"/>
  <c r="I146"/>
  <c r="I147"/>
  <c r="I148"/>
  <c r="I149"/>
  <c r="Q156" i="6"/>
  <c r="M156"/>
  <c r="G155"/>
  <c r="M156" i="8"/>
  <c r="K157"/>
  <c r="I157"/>
  <c r="AI156" i="1"/>
  <c r="AI157"/>
  <c r="AC151"/>
  <c r="AC152"/>
  <c r="AC153"/>
  <c r="AC154"/>
  <c r="AC155"/>
  <c r="AC156"/>
  <c r="AC150"/>
  <c r="AC143"/>
  <c r="AC144"/>
  <c r="AA156"/>
  <c r="Y155"/>
  <c r="Y156"/>
  <c r="W157"/>
  <c r="U156"/>
  <c r="S157"/>
  <c r="Q157"/>
  <c r="M156"/>
  <c r="M157"/>
  <c r="K157"/>
  <c r="G157"/>
  <c r="D157"/>
  <c r="G156" i="9"/>
  <c r="S156" i="6"/>
  <c r="M155" i="9"/>
  <c r="M156"/>
  <c r="I155"/>
  <c r="K155" i="7"/>
  <c r="G154"/>
  <c r="G155"/>
  <c r="U155" i="6"/>
  <c r="Q155"/>
  <c r="M155"/>
  <c r="G154"/>
  <c r="M155" i="8"/>
  <c r="K156"/>
  <c r="I156"/>
  <c r="AM156" i="1"/>
  <c r="AM155"/>
  <c r="AA155"/>
  <c r="W156"/>
  <c r="U155"/>
  <c r="S156"/>
  <c r="Q156"/>
  <c r="O156"/>
  <c r="K156"/>
  <c r="K155"/>
  <c r="G156"/>
  <c r="D156"/>
  <c r="M155"/>
  <c r="M154" i="9"/>
  <c r="AI155" i="1"/>
  <c r="I154" i="9"/>
  <c r="I153"/>
  <c r="G155"/>
  <c r="K154" i="7"/>
  <c r="G153"/>
  <c r="M154" i="8"/>
  <c r="K155"/>
  <c r="I155"/>
  <c r="AA150" i="6"/>
  <c r="U154"/>
  <c r="S155"/>
  <c r="Q154"/>
  <c r="M154"/>
  <c r="I150"/>
  <c r="G153"/>
  <c r="D155" i="1"/>
  <c r="AA154"/>
  <c r="Y154"/>
  <c r="W155"/>
  <c r="U154"/>
  <c r="S155"/>
  <c r="Q155"/>
  <c r="M154"/>
  <c r="O155"/>
  <c r="G155"/>
  <c r="K153" i="7"/>
  <c r="AM154" i="1"/>
  <c r="AI154"/>
  <c r="I152" i="9"/>
  <c r="G154"/>
  <c r="U153" i="6"/>
  <c r="S154"/>
  <c r="Q153"/>
  <c r="M153"/>
  <c r="G152"/>
  <c r="M153" i="8"/>
  <c r="K151"/>
  <c r="K152"/>
  <c r="K153"/>
  <c r="K154"/>
  <c r="K150"/>
  <c r="I154"/>
  <c r="AA153" i="1"/>
  <c r="Y153"/>
  <c r="W154"/>
  <c r="U153"/>
  <c r="S154"/>
  <c r="Q154"/>
  <c r="O154"/>
  <c r="M153"/>
  <c r="K154"/>
  <c r="G154"/>
  <c r="D154"/>
  <c r="O137" i="9"/>
  <c r="K152" i="7"/>
  <c r="M152" i="9"/>
  <c r="M153"/>
  <c r="G153"/>
  <c r="I151"/>
  <c r="G152" i="7"/>
  <c r="G151"/>
  <c r="G150"/>
  <c r="AI153" i="1"/>
  <c r="Y152"/>
  <c r="U152" i="6"/>
  <c r="S153"/>
  <c r="S152"/>
  <c r="Q152"/>
  <c r="M152"/>
  <c r="I177"/>
  <c r="I147"/>
  <c r="G151"/>
  <c r="M151" i="8"/>
  <c r="M152"/>
  <c r="I153"/>
  <c r="AM153" i="1"/>
  <c r="AE150"/>
  <c r="AE151"/>
  <c r="AE152"/>
  <c r="AA152"/>
  <c r="W153"/>
  <c r="U152"/>
  <c r="S153"/>
  <c r="Q153"/>
  <c r="O153"/>
  <c r="M152"/>
  <c r="K153"/>
  <c r="G153"/>
  <c r="D153"/>
  <c r="K151" i="7"/>
  <c r="K150"/>
  <c r="G152" i="9"/>
  <c r="AI152" i="1"/>
  <c r="U151" i="6"/>
  <c r="S151"/>
  <c r="Q151"/>
  <c r="M151"/>
  <c r="G150"/>
  <c r="M150" i="8"/>
  <c r="I152"/>
  <c r="AM152" i="1"/>
  <c r="AK150"/>
  <c r="AI151"/>
  <c r="AA151"/>
  <c r="Y151"/>
  <c r="W152"/>
  <c r="U151"/>
  <c r="S152"/>
  <c r="Q152"/>
  <c r="O152"/>
  <c r="M151"/>
  <c r="K152"/>
  <c r="G152"/>
  <c r="D152"/>
  <c r="O126" i="8"/>
  <c r="AE149" i="1"/>
  <c r="AA150"/>
  <c r="Y150"/>
  <c r="Y148"/>
  <c r="Y149"/>
  <c r="Y147"/>
  <c r="M150" i="9"/>
  <c r="M151"/>
  <c r="AB175" i="7"/>
  <c r="AC126"/>
  <c r="Y138"/>
  <c r="X177"/>
  <c r="S150"/>
  <c r="G151" i="9"/>
  <c r="G150"/>
  <c r="I150"/>
  <c r="G149" i="7"/>
  <c r="J177" i="6"/>
  <c r="K177" s="1"/>
  <c r="Z177"/>
  <c r="AA147"/>
  <c r="U150"/>
  <c r="S150"/>
  <c r="Q150"/>
  <c r="M150"/>
  <c r="I151" i="1"/>
  <c r="F177" i="6"/>
  <c r="G177" s="1"/>
  <c r="G149"/>
  <c r="K149" i="8"/>
  <c r="I151"/>
  <c r="AM151" i="1"/>
  <c r="AM150"/>
  <c r="AI150"/>
  <c r="AE144"/>
  <c r="AE145"/>
  <c r="AE146"/>
  <c r="AE147"/>
  <c r="AE148"/>
  <c r="Z177"/>
  <c r="AA149"/>
  <c r="W151"/>
  <c r="U150"/>
  <c r="U149"/>
  <c r="S151"/>
  <c r="Q151"/>
  <c r="Q150"/>
  <c r="O151"/>
  <c r="O150"/>
  <c r="K151"/>
  <c r="K150"/>
  <c r="G151"/>
  <c r="G150"/>
  <c r="D151"/>
  <c r="L177" i="9"/>
  <c r="H177"/>
  <c r="F177"/>
  <c r="R177" i="7"/>
  <c r="S177" s="1"/>
  <c r="N177"/>
  <c r="O177" s="1"/>
  <c r="J177"/>
  <c r="K177" s="1"/>
  <c r="T177" i="6"/>
  <c r="U177" s="1"/>
  <c r="R177"/>
  <c r="S177" s="1"/>
  <c r="P177"/>
  <c r="Q177" s="1"/>
  <c r="N177"/>
  <c r="O177" s="1"/>
  <c r="L177"/>
  <c r="M177" s="1"/>
  <c r="AV177" i="1"/>
  <c r="AW177" s="1"/>
  <c r="AR177"/>
  <c r="AL177"/>
  <c r="AJ177"/>
  <c r="AH177"/>
  <c r="P176" i="6"/>
  <c r="Q176"/>
  <c r="L176"/>
  <c r="M176"/>
  <c r="L177" i="1"/>
  <c r="J177"/>
  <c r="H177"/>
  <c r="N177"/>
  <c r="M150"/>
  <c r="U149" i="6"/>
  <c r="I149" i="9"/>
  <c r="G149"/>
  <c r="S145" i="7"/>
  <c r="S146"/>
  <c r="S147"/>
  <c r="S148"/>
  <c r="S149"/>
  <c r="S144"/>
  <c r="S143"/>
  <c r="S142"/>
  <c r="S139"/>
  <c r="S138"/>
  <c r="O150"/>
  <c r="O149"/>
  <c r="O148"/>
  <c r="O146"/>
  <c r="K149"/>
  <c r="F176"/>
  <c r="G176" s="1"/>
  <c r="G148"/>
  <c r="D149"/>
  <c r="Q149" i="6"/>
  <c r="M149"/>
  <c r="G148"/>
  <c r="G147"/>
  <c r="D149"/>
  <c r="M149" i="8"/>
  <c r="M148"/>
  <c r="K148"/>
  <c r="K147"/>
  <c r="I150"/>
  <c r="AW138" i="1"/>
  <c r="AW126"/>
  <c r="AO138"/>
  <c r="W150"/>
  <c r="S150"/>
  <c r="M149"/>
  <c r="D150"/>
  <c r="D149"/>
  <c r="D148"/>
  <c r="D147"/>
  <c r="G149"/>
  <c r="I149"/>
  <c r="K149"/>
  <c r="M146"/>
  <c r="O144"/>
  <c r="I150"/>
  <c r="I176" i="6"/>
  <c r="I144"/>
  <c r="F177" i="1"/>
  <c r="F176"/>
  <c r="G176" s="1"/>
  <c r="AC147" i="6"/>
  <c r="F177" i="8"/>
  <c r="G177" s="1"/>
  <c r="H176" i="9"/>
  <c r="I176" s="1"/>
  <c r="I148"/>
  <c r="U148" i="6"/>
  <c r="M149" i="9"/>
  <c r="K148" i="7"/>
  <c r="G147"/>
  <c r="S149" i="6"/>
  <c r="Q148"/>
  <c r="O148"/>
  <c r="M147" i="8"/>
  <c r="I149"/>
  <c r="D149"/>
  <c r="AI149" i="1"/>
  <c r="AG149"/>
  <c r="S149"/>
  <c r="O149"/>
  <c r="D149" i="9"/>
  <c r="I143" i="7"/>
  <c r="AC139" i="6"/>
  <c r="AC140"/>
  <c r="AC141"/>
  <c r="AC142"/>
  <c r="AC143"/>
  <c r="AC144"/>
  <c r="AC145"/>
  <c r="AC146"/>
  <c r="AA144"/>
  <c r="M148"/>
  <c r="G149" i="8"/>
  <c r="AM149" i="1"/>
  <c r="AK147"/>
  <c r="AI148"/>
  <c r="AA148"/>
  <c r="W149"/>
  <c r="U148"/>
  <c r="S148"/>
  <c r="M148"/>
  <c r="M148" i="9"/>
  <c r="AA147" i="1"/>
  <c r="AQ126"/>
  <c r="AQ176" s="1"/>
  <c r="K147" i="7"/>
  <c r="K146"/>
  <c r="AG148" i="1"/>
  <c r="U147" i="6"/>
  <c r="O147"/>
  <c r="G148" i="8"/>
  <c r="W148" i="1"/>
  <c r="S148" i="6"/>
  <c r="S147"/>
  <c r="Q147"/>
  <c r="AM148" i="1"/>
  <c r="I148" i="8"/>
  <c r="M147" i="6"/>
  <c r="M146" i="8"/>
  <c r="G148" i="9"/>
  <c r="G146" i="6"/>
  <c r="K144"/>
  <c r="G146" i="7"/>
  <c r="Q149" i="1"/>
  <c r="D148" i="9"/>
  <c r="D148" i="7"/>
  <c r="D148" i="6"/>
  <c r="D148" i="8"/>
  <c r="I147" i="9"/>
  <c r="Q148" i="1"/>
  <c r="Q147"/>
  <c r="U147"/>
  <c r="O148"/>
  <c r="I142" i="7"/>
  <c r="K148" i="1"/>
  <c r="G148"/>
  <c r="I148"/>
  <c r="M147"/>
  <c r="AI147"/>
  <c r="AG147"/>
  <c r="I147"/>
  <c r="I146" i="9"/>
  <c r="M147"/>
  <c r="G147"/>
  <c r="K145" i="7"/>
  <c r="I141"/>
  <c r="U146" i="6"/>
  <c r="Q146"/>
  <c r="O146"/>
  <c r="M146"/>
  <c r="G145"/>
  <c r="I147" i="8"/>
  <c r="G147"/>
  <c r="M145"/>
  <c r="M144"/>
  <c r="AM147" i="1"/>
  <c r="D147" i="9"/>
  <c r="D147" i="7"/>
  <c r="D147" i="6"/>
  <c r="D147" i="8"/>
  <c r="AA146" i="1"/>
  <c r="Y146"/>
  <c r="W147"/>
  <c r="S147"/>
  <c r="O147"/>
  <c r="G147"/>
  <c r="K147"/>
  <c r="AZ177"/>
  <c r="AN177"/>
  <c r="U146"/>
  <c r="AY126"/>
  <c r="AY102"/>
  <c r="AY114"/>
  <c r="D146" i="9"/>
  <c r="D146" i="7"/>
  <c r="D146" i="6"/>
  <c r="D146" i="8"/>
  <c r="D146" i="1"/>
  <c r="M146" i="9"/>
  <c r="O145" i="7"/>
  <c r="Q143"/>
  <c r="Q142"/>
  <c r="Q141"/>
  <c r="AA145" i="1"/>
  <c r="AA144"/>
  <c r="K144" i="7"/>
  <c r="AG146" i="1"/>
  <c r="U145" i="6"/>
  <c r="O145"/>
  <c r="S146"/>
  <c r="G146" i="8"/>
  <c r="K146"/>
  <c r="W146" i="1"/>
  <c r="Q145" i="6"/>
  <c r="AK144" i="1"/>
  <c r="AM146"/>
  <c r="AM145"/>
  <c r="I146" i="8"/>
  <c r="M145" i="6"/>
  <c r="M143" i="8"/>
  <c r="M142"/>
  <c r="G146" i="9"/>
  <c r="I145"/>
  <c r="G144" i="6"/>
  <c r="I141"/>
  <c r="G145" i="7"/>
  <c r="G144"/>
  <c r="AI146" i="1"/>
  <c r="O146"/>
  <c r="Y145"/>
  <c r="AE143"/>
  <c r="AE142"/>
  <c r="AE141"/>
  <c r="U145"/>
  <c r="S146"/>
  <c r="M145"/>
  <c r="K146"/>
  <c r="G146"/>
  <c r="I146"/>
  <c r="M145" i="9"/>
  <c r="O144" i="7"/>
  <c r="K145" i="8"/>
  <c r="G145"/>
  <c r="I145"/>
  <c r="AG145" i="1"/>
  <c r="M144"/>
  <c r="K145"/>
  <c r="G145"/>
  <c r="I145"/>
  <c r="W145"/>
  <c r="S145"/>
  <c r="U144" i="6"/>
  <c r="S145"/>
  <c r="Q144"/>
  <c r="O144"/>
  <c r="M144"/>
  <c r="M144" i="7"/>
  <c r="G145" i="9"/>
  <c r="I144"/>
  <c r="G143" i="6"/>
  <c r="K141"/>
  <c r="AI145" i="1"/>
  <c r="AI144"/>
  <c r="I140" i="7"/>
  <c r="I139"/>
  <c r="I138"/>
  <c r="Q146" i="1"/>
  <c r="Y144"/>
  <c r="O145"/>
  <c r="D145" i="8"/>
  <c r="D144"/>
  <c r="D145" i="6"/>
  <c r="D144"/>
  <c r="D145" i="7"/>
  <c r="D144"/>
  <c r="D145" i="9"/>
  <c r="D144"/>
  <c r="D144" i="1"/>
  <c r="D145"/>
  <c r="U144"/>
  <c r="M144" i="9"/>
  <c r="O144"/>
  <c r="O143"/>
  <c r="O143" i="7"/>
  <c r="K143"/>
  <c r="AA141" i="6"/>
  <c r="S144"/>
  <c r="Q143"/>
  <c r="U143"/>
  <c r="O143"/>
  <c r="M143"/>
  <c r="I138"/>
  <c r="G144" i="8"/>
  <c r="I144"/>
  <c r="M141"/>
  <c r="K144"/>
  <c r="K143"/>
  <c r="AM144" i="1"/>
  <c r="AG144"/>
  <c r="AA143"/>
  <c r="W144"/>
  <c r="Q145"/>
  <c r="U143"/>
  <c r="S144"/>
  <c r="G144"/>
  <c r="G144" i="9"/>
  <c r="I143"/>
  <c r="G142" i="6"/>
  <c r="G143" i="7"/>
  <c r="Q144" i="1"/>
  <c r="Y143"/>
  <c r="Y141"/>
  <c r="O143"/>
  <c r="K144"/>
  <c r="I144"/>
  <c r="I143"/>
  <c r="M143"/>
  <c r="M143" i="9"/>
  <c r="S141" i="7"/>
  <c r="O142"/>
  <c r="M143"/>
  <c r="K142"/>
  <c r="U142" i="6"/>
  <c r="S143"/>
  <c r="Q142"/>
  <c r="Q140"/>
  <c r="O142"/>
  <c r="M142"/>
  <c r="M140" i="8"/>
  <c r="M139"/>
  <c r="K142"/>
  <c r="K141"/>
  <c r="K140"/>
  <c r="I143"/>
  <c r="G143"/>
  <c r="AM143" i="1"/>
  <c r="AM142"/>
  <c r="AK141"/>
  <c r="AA142"/>
  <c r="AA141"/>
  <c r="W143"/>
  <c r="AG143"/>
  <c r="G141" i="6"/>
  <c r="I142" i="9"/>
  <c r="I141"/>
  <c r="I140"/>
  <c r="G143"/>
  <c r="G142" i="7"/>
  <c r="AI143" i="1"/>
  <c r="AC142"/>
  <c r="Q143"/>
  <c r="Y142"/>
  <c r="U142"/>
  <c r="O142"/>
  <c r="O141"/>
  <c r="S143"/>
  <c r="K143"/>
  <c r="G143"/>
  <c r="D143" i="9"/>
  <c r="D143" i="7"/>
  <c r="D143" i="6"/>
  <c r="D143" i="8"/>
  <c r="D143" i="1"/>
  <c r="M142"/>
  <c r="AI142"/>
  <c r="I139" i="9"/>
  <c r="I138"/>
  <c r="M142"/>
  <c r="G142"/>
  <c r="G142" i="1"/>
  <c r="Q140" i="7"/>
  <c r="Q139"/>
  <c r="Q138"/>
  <c r="Q168"/>
  <c r="Q169"/>
  <c r="O141"/>
  <c r="O140"/>
  <c r="O139"/>
  <c r="M142"/>
  <c r="G141"/>
  <c r="W141" i="6"/>
  <c r="U141"/>
  <c r="U140"/>
  <c r="U139"/>
  <c r="S142"/>
  <c r="Q141"/>
  <c r="O141"/>
  <c r="M141"/>
  <c r="K138"/>
  <c r="G140"/>
  <c r="M138" i="8"/>
  <c r="M137"/>
  <c r="M136"/>
  <c r="M135"/>
  <c r="M134"/>
  <c r="M133"/>
  <c r="M132"/>
  <c r="M131"/>
  <c r="M130"/>
  <c r="M129"/>
  <c r="I142"/>
  <c r="G142"/>
  <c r="AM141" i="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U141"/>
  <c r="AC141"/>
  <c r="AG142"/>
  <c r="W142"/>
  <c r="Q142"/>
  <c r="S142"/>
  <c r="K142"/>
  <c r="I142"/>
  <c r="D142" i="9"/>
  <c r="D142" i="7"/>
  <c r="D142" i="6"/>
  <c r="D142" i="8"/>
  <c r="D142" i="1"/>
  <c r="I137" i="9"/>
  <c r="M141" i="7"/>
  <c r="M140"/>
  <c r="M139"/>
  <c r="M169"/>
  <c r="AA129" i="6"/>
  <c r="AA138"/>
  <c r="S141"/>
  <c r="M140"/>
  <c r="G141" i="8"/>
  <c r="I141"/>
  <c r="AG141" i="1"/>
  <c r="M141"/>
  <c r="AI141"/>
  <c r="Y140"/>
  <c r="I135" i="6"/>
  <c r="G139"/>
  <c r="AC140" i="1"/>
  <c r="AC139"/>
  <c r="AC138"/>
  <c r="U140"/>
  <c r="AA140"/>
  <c r="AE140"/>
  <c r="AE139"/>
  <c r="AE138"/>
  <c r="W141"/>
  <c r="S141"/>
  <c r="K141"/>
  <c r="O140" i="6"/>
  <c r="W140"/>
  <c r="G140" i="7"/>
  <c r="K141"/>
  <c r="K140"/>
  <c r="S140"/>
  <c r="I136" i="9"/>
  <c r="I135"/>
  <c r="M141"/>
  <c r="G141"/>
  <c r="D141"/>
  <c r="D141" i="7"/>
  <c r="D141" i="6"/>
  <c r="D141" i="8"/>
  <c r="D141" i="1"/>
  <c r="I141"/>
  <c r="G141"/>
  <c r="Y139"/>
  <c r="Y138"/>
  <c r="Y133"/>
  <c r="Y134"/>
  <c r="Y135"/>
  <c r="Y136"/>
  <c r="Y137"/>
  <c r="M140"/>
  <c r="I140"/>
  <c r="G140" i="9"/>
  <c r="M140"/>
  <c r="K139" i="7"/>
  <c r="G139"/>
  <c r="G138"/>
  <c r="AC137" i="6"/>
  <c r="AC136"/>
  <c r="S140"/>
  <c r="S139"/>
  <c r="W139"/>
  <c r="Q139"/>
  <c r="O138"/>
  <c r="O139"/>
  <c r="G138"/>
  <c r="M139"/>
  <c r="G140" i="8"/>
  <c r="I140"/>
  <c r="K139"/>
  <c r="K138"/>
  <c r="K137"/>
  <c r="AI140" i="1"/>
  <c r="BA126"/>
  <c r="BA127"/>
  <c r="AK138"/>
  <c r="U139"/>
  <c r="U138"/>
  <c r="AA139"/>
  <c r="AA138"/>
  <c r="AG140"/>
  <c r="W140"/>
  <c r="Q141"/>
  <c r="Q140"/>
  <c r="S140"/>
  <c r="O140"/>
  <c r="O139"/>
  <c r="K140"/>
  <c r="G140"/>
  <c r="D140" i="9"/>
  <c r="D140" i="7"/>
  <c r="D140" i="6"/>
  <c r="D140" i="8"/>
  <c r="D140" i="1"/>
  <c r="AP69"/>
  <c r="AC114" i="7"/>
  <c r="O139" i="9"/>
  <c r="M139" i="1"/>
  <c r="I139"/>
  <c r="AI139"/>
  <c r="S139"/>
  <c r="X176" i="7"/>
  <c r="Y177" s="1"/>
  <c r="X175"/>
  <c r="Y175"/>
  <c r="O138" i="9"/>
  <c r="M139"/>
  <c r="G139"/>
  <c r="G138"/>
  <c r="O138" i="7"/>
  <c r="M138"/>
  <c r="K138"/>
  <c r="G137"/>
  <c r="AC129" i="6"/>
  <c r="AC128"/>
  <c r="AC127"/>
  <c r="AC126"/>
  <c r="AA135"/>
  <c r="W138"/>
  <c r="W137"/>
  <c r="U138"/>
  <c r="S138"/>
  <c r="Q138"/>
  <c r="O137"/>
  <c r="M138"/>
  <c r="I139" i="8"/>
  <c r="G139"/>
  <c r="BA128" i="1"/>
  <c r="BA129"/>
  <c r="BA130"/>
  <c r="BA131"/>
  <c r="BA132"/>
  <c r="BA133"/>
  <c r="AA137"/>
  <c r="AG139"/>
  <c r="W139"/>
  <c r="Q139"/>
  <c r="AI138"/>
  <c r="O138"/>
  <c r="K139"/>
  <c r="D139" i="9"/>
  <c r="D139" i="7"/>
  <c r="D139" i="6"/>
  <c r="D139" i="8"/>
  <c r="D139" i="1"/>
  <c r="G139"/>
  <c r="K135" i="6"/>
  <c r="G137"/>
  <c r="AE137" i="1"/>
  <c r="AE136"/>
  <c r="I137" i="7"/>
  <c r="M138" i="1"/>
  <c r="I138"/>
  <c r="S138"/>
  <c r="M138" i="9"/>
  <c r="Y126" i="7"/>
  <c r="Y114"/>
  <c r="AC45"/>
  <c r="AC46"/>
  <c r="AC47"/>
  <c r="AC48"/>
  <c r="AC49"/>
  <c r="AC50"/>
  <c r="AC51"/>
  <c r="AC52"/>
  <c r="AC53"/>
  <c r="W126"/>
  <c r="W114"/>
  <c r="W102"/>
  <c r="W90"/>
  <c r="W78"/>
  <c r="W66"/>
  <c r="W54"/>
  <c r="W42"/>
  <c r="W30"/>
  <c r="W18"/>
  <c r="S137"/>
  <c r="S136"/>
  <c r="S135"/>
  <c r="S134"/>
  <c r="S133"/>
  <c r="S132"/>
  <c r="S131"/>
  <c r="Q137"/>
  <c r="Q136"/>
  <c r="Q135"/>
  <c r="Q134"/>
  <c r="Q133"/>
  <c r="Q132"/>
  <c r="M137"/>
  <c r="K137"/>
  <c r="O136" i="6"/>
  <c r="AC135"/>
  <c r="AC134"/>
  <c r="AC133"/>
  <c r="AC132"/>
  <c r="AC131"/>
  <c r="AC130"/>
  <c r="AA132"/>
  <c r="AA126"/>
  <c r="U137"/>
  <c r="U136"/>
  <c r="Q137"/>
  <c r="M137"/>
  <c r="G136"/>
  <c r="K136" i="8"/>
  <c r="K135"/>
  <c r="I138"/>
  <c r="I137"/>
  <c r="I136"/>
  <c r="I135"/>
  <c r="AW30" i="1"/>
  <c r="AW42"/>
  <c r="AW54"/>
  <c r="AW66"/>
  <c r="AW78"/>
  <c r="AW90"/>
  <c r="AW102"/>
  <c r="AQ114"/>
  <c r="AQ175" s="1"/>
  <c r="U137"/>
  <c r="U136"/>
  <c r="AA90"/>
  <c r="AK135"/>
  <c r="AC137"/>
  <c r="AG138"/>
  <c r="AG137"/>
  <c r="AG136"/>
  <c r="W138"/>
  <c r="Q138"/>
  <c r="AI137"/>
  <c r="N176" i="9"/>
  <c r="L176"/>
  <c r="M176" s="1"/>
  <c r="J176"/>
  <c r="K176" s="1"/>
  <c r="F176"/>
  <c r="G176"/>
  <c r="R176" i="7"/>
  <c r="S176"/>
  <c r="T176"/>
  <c r="U176" s="1"/>
  <c r="P176"/>
  <c r="Q176"/>
  <c r="N176"/>
  <c r="O176" s="1"/>
  <c r="L176"/>
  <c r="M176"/>
  <c r="J176"/>
  <c r="K176" s="1"/>
  <c r="H176"/>
  <c r="I176"/>
  <c r="Z176" i="6"/>
  <c r="AA176" s="1"/>
  <c r="X176"/>
  <c r="Y176" s="1"/>
  <c r="V176"/>
  <c r="W176" s="1"/>
  <c r="T176"/>
  <c r="U176" s="1"/>
  <c r="R176"/>
  <c r="S176" s="1"/>
  <c r="N176"/>
  <c r="O176" s="1"/>
  <c r="J176"/>
  <c r="K176" s="1"/>
  <c r="F176"/>
  <c r="G176" s="1"/>
  <c r="L176" i="8"/>
  <c r="J176"/>
  <c r="K176" s="1"/>
  <c r="H176"/>
  <c r="I176"/>
  <c r="F176"/>
  <c r="G176" s="1"/>
  <c r="AV176" i="1"/>
  <c r="AW176" s="1"/>
  <c r="AT176"/>
  <c r="AX176"/>
  <c r="AN176"/>
  <c r="AO177" s="1"/>
  <c r="T176"/>
  <c r="U176" s="1"/>
  <c r="AJ176"/>
  <c r="AK176" s="1"/>
  <c r="Z176"/>
  <c r="AC176"/>
  <c r="X176"/>
  <c r="Y176" s="1"/>
  <c r="AD176"/>
  <c r="AE176" s="1"/>
  <c r="AL176"/>
  <c r="AM176" s="1"/>
  <c r="AF176"/>
  <c r="AG176" s="1"/>
  <c r="AR176"/>
  <c r="V176"/>
  <c r="W176" s="1"/>
  <c r="AZ176"/>
  <c r="BA176" s="1"/>
  <c r="P176"/>
  <c r="Q176" s="1"/>
  <c r="R176"/>
  <c r="S176" s="1"/>
  <c r="AH176"/>
  <c r="AI176" s="1"/>
  <c r="N176"/>
  <c r="K138"/>
  <c r="I137"/>
  <c r="C177" i="6"/>
  <c r="D177" s="1"/>
  <c r="C177" i="9"/>
  <c r="P177" i="7"/>
  <c r="Q177" s="1"/>
  <c r="F177"/>
  <c r="G177" s="1"/>
  <c r="C177"/>
  <c r="D177" s="1"/>
  <c r="R177" i="8"/>
  <c r="P177"/>
  <c r="N177"/>
  <c r="L177"/>
  <c r="M177" s="1"/>
  <c r="J177"/>
  <c r="K177" s="1"/>
  <c r="H177"/>
  <c r="I177" s="1"/>
  <c r="C177"/>
  <c r="D177" s="1"/>
  <c r="T177" i="1"/>
  <c r="U177" s="1"/>
  <c r="AC177"/>
  <c r="X177"/>
  <c r="Y177" s="1"/>
  <c r="AD177"/>
  <c r="AE177" s="1"/>
  <c r="AF177"/>
  <c r="V177"/>
  <c r="P177"/>
  <c r="R177"/>
  <c r="D138" i="9"/>
  <c r="D138" i="7"/>
  <c r="D138" i="6"/>
  <c r="D163"/>
  <c r="G163"/>
  <c r="I163"/>
  <c r="U163"/>
  <c r="D164"/>
  <c r="G164"/>
  <c r="I164"/>
  <c r="U164"/>
  <c r="D165"/>
  <c r="G165"/>
  <c r="I165"/>
  <c r="U165"/>
  <c r="D166"/>
  <c r="G166"/>
  <c r="I166"/>
  <c r="X166"/>
  <c r="AB166"/>
  <c r="T166"/>
  <c r="U166"/>
  <c r="V166"/>
  <c r="C167"/>
  <c r="D167" s="1"/>
  <c r="F167"/>
  <c r="G167" s="1"/>
  <c r="I167"/>
  <c r="J167"/>
  <c r="X167"/>
  <c r="Y168" s="1"/>
  <c r="AD167"/>
  <c r="AB167"/>
  <c r="AC167" s="1"/>
  <c r="T167"/>
  <c r="V167"/>
  <c r="W168" s="1"/>
  <c r="C168"/>
  <c r="F168"/>
  <c r="G169" s="1"/>
  <c r="I168"/>
  <c r="J168"/>
  <c r="K169" s="1"/>
  <c r="X168"/>
  <c r="AD168"/>
  <c r="AE168" s="1"/>
  <c r="AB168"/>
  <c r="T168"/>
  <c r="U169" s="1"/>
  <c r="V168"/>
  <c r="C169"/>
  <c r="D170" s="1"/>
  <c r="F169"/>
  <c r="I169"/>
  <c r="J169"/>
  <c r="X169"/>
  <c r="Y170" s="1"/>
  <c r="AD169"/>
  <c r="AB169"/>
  <c r="AC169" s="1"/>
  <c r="T169"/>
  <c r="V169"/>
  <c r="C170"/>
  <c r="F170"/>
  <c r="G170" s="1"/>
  <c r="I170"/>
  <c r="J170"/>
  <c r="X170"/>
  <c r="N170"/>
  <c r="AD170"/>
  <c r="AB170"/>
  <c r="T170"/>
  <c r="V170"/>
  <c r="C171"/>
  <c r="F171"/>
  <c r="G171" s="1"/>
  <c r="I171"/>
  <c r="J171"/>
  <c r="X171"/>
  <c r="N171"/>
  <c r="AD171"/>
  <c r="AB171"/>
  <c r="T171"/>
  <c r="V171"/>
  <c r="W171" s="1"/>
  <c r="C172"/>
  <c r="F172"/>
  <c r="G172" s="1"/>
  <c r="I172"/>
  <c r="J172"/>
  <c r="K172" s="1"/>
  <c r="L172"/>
  <c r="X172"/>
  <c r="Y173" s="1"/>
  <c r="N172"/>
  <c r="AD172"/>
  <c r="AE173" s="1"/>
  <c r="AA172"/>
  <c r="AB172"/>
  <c r="AC172" s="1"/>
  <c r="T172"/>
  <c r="V172"/>
  <c r="W172" s="1"/>
  <c r="F173"/>
  <c r="I173"/>
  <c r="J173"/>
  <c r="L173"/>
  <c r="X173"/>
  <c r="N173"/>
  <c r="O174" s="1"/>
  <c r="AD173"/>
  <c r="AF173"/>
  <c r="AA173"/>
  <c r="AB173"/>
  <c r="T173"/>
  <c r="U173"/>
  <c r="V173"/>
  <c r="G138" i="8"/>
  <c r="D138"/>
  <c r="G138" i="1"/>
  <c r="D138"/>
  <c r="G137"/>
  <c r="G137" i="9"/>
  <c r="M137"/>
  <c r="M136"/>
  <c r="G136" i="7"/>
  <c r="G135"/>
  <c r="I136"/>
  <c r="I135"/>
  <c r="O137"/>
  <c r="W136" i="6"/>
  <c r="Q136"/>
  <c r="S137"/>
  <c r="I132"/>
  <c r="M136"/>
  <c r="G135"/>
  <c r="G137" i="8"/>
  <c r="AC136" i="1"/>
  <c r="AE135"/>
  <c r="AE134"/>
  <c r="AA136"/>
  <c r="S137"/>
  <c r="W137"/>
  <c r="Q137"/>
  <c r="M137"/>
  <c r="O137"/>
  <c r="D137" i="9"/>
  <c r="D137" i="7"/>
  <c r="D137" i="6"/>
  <c r="D137" i="8"/>
  <c r="D137" i="1"/>
  <c r="K137"/>
  <c r="M135" i="9"/>
  <c r="O134" i="7"/>
  <c r="O135"/>
  <c r="O136"/>
  <c r="M136"/>
  <c r="M135"/>
  <c r="K136"/>
  <c r="W135" i="6"/>
  <c r="U135"/>
  <c r="S136"/>
  <c r="Q135"/>
  <c r="O135"/>
  <c r="M135"/>
  <c r="G136" i="8"/>
  <c r="U134" i="1"/>
  <c r="U135"/>
  <c r="AK132"/>
  <c r="AA135"/>
  <c r="AA134"/>
  <c r="AE133"/>
  <c r="AG135"/>
  <c r="W136"/>
  <c r="S136"/>
  <c r="M136"/>
  <c r="I136"/>
  <c r="O136" i="9"/>
  <c r="G136"/>
  <c r="AI136" i="1"/>
  <c r="AC135"/>
  <c r="I134" i="7"/>
  <c r="K132" i="6"/>
  <c r="K129"/>
  <c r="G134"/>
  <c r="G133"/>
  <c r="Q136" i="1"/>
  <c r="O136"/>
  <c r="M135"/>
  <c r="K136"/>
  <c r="I135"/>
  <c r="D136" i="9"/>
  <c r="D136" i="7"/>
  <c r="D136" i="6"/>
  <c r="D136" i="8"/>
  <c r="D136" i="1"/>
  <c r="G136"/>
  <c r="K135" i="7"/>
  <c r="I133"/>
  <c r="G134"/>
  <c r="W134" i="6"/>
  <c r="U134"/>
  <c r="S135"/>
  <c r="Q134"/>
  <c r="O134"/>
  <c r="M134"/>
  <c r="K133" i="8"/>
  <c r="K134"/>
  <c r="G135"/>
  <c r="AG134" i="1"/>
  <c r="W135"/>
  <c r="Q135"/>
  <c r="S135"/>
  <c r="AI135"/>
  <c r="K135"/>
  <c r="O135" i="9"/>
  <c r="G135"/>
  <c r="I134"/>
  <c r="O135" i="1"/>
  <c r="M134"/>
  <c r="G135"/>
  <c r="D135" i="9"/>
  <c r="D135" i="7"/>
  <c r="D135" i="6"/>
  <c r="D135" i="8"/>
  <c r="D135" i="1"/>
  <c r="AC126"/>
  <c r="AC127"/>
  <c r="AC128"/>
  <c r="AC129"/>
  <c r="AC130"/>
  <c r="AC131"/>
  <c r="AC132"/>
  <c r="AC133"/>
  <c r="AC134"/>
  <c r="O134" i="9"/>
  <c r="O133"/>
  <c r="O132"/>
  <c r="O131"/>
  <c r="O130"/>
  <c r="O129"/>
  <c r="O128"/>
  <c r="M134"/>
  <c r="M134" i="7"/>
  <c r="K134"/>
  <c r="G133"/>
  <c r="S134" i="6"/>
  <c r="O133"/>
  <c r="AA133" i="1"/>
  <c r="Y132"/>
  <c r="Y131"/>
  <c r="Y130"/>
  <c r="Y129"/>
  <c r="Y128"/>
  <c r="Y127"/>
  <c r="Y126"/>
  <c r="AG133"/>
  <c r="D134" i="9"/>
  <c r="D134" i="7"/>
  <c r="D134" i="6"/>
  <c r="D134" i="8"/>
  <c r="D134" i="1"/>
  <c r="M133" i="9"/>
  <c r="I133"/>
  <c r="I132"/>
  <c r="G134"/>
  <c r="M133" i="7"/>
  <c r="I132"/>
  <c r="I131"/>
  <c r="I130"/>
  <c r="I129"/>
  <c r="W133" i="6"/>
  <c r="U133"/>
  <c r="Q133"/>
  <c r="M133"/>
  <c r="I129"/>
  <c r="G132"/>
  <c r="I134" i="8"/>
  <c r="G134"/>
  <c r="U133" i="1"/>
  <c r="AE132"/>
  <c r="AE131"/>
  <c r="W134"/>
  <c r="Q134"/>
  <c r="S134"/>
  <c r="S133"/>
  <c r="AI134"/>
  <c r="O134"/>
  <c r="M133"/>
  <c r="K134"/>
  <c r="G134"/>
  <c r="I133"/>
  <c r="I134"/>
  <c r="O133" i="7"/>
  <c r="S133" i="6"/>
  <c r="O132"/>
  <c r="O131"/>
  <c r="AI133" i="1"/>
  <c r="K133"/>
  <c r="G131" i="6"/>
  <c r="G133" i="9"/>
  <c r="U133" i="7"/>
  <c r="K133"/>
  <c r="G132"/>
  <c r="Q132" i="6"/>
  <c r="AE133"/>
  <c r="M128" i="8"/>
  <c r="I133"/>
  <c r="G133"/>
  <c r="W133" i="1"/>
  <c r="Q133"/>
  <c r="O133"/>
  <c r="G133"/>
  <c r="D133" i="9"/>
  <c r="D133" i="7"/>
  <c r="D133" i="6"/>
  <c r="D133" i="8"/>
  <c r="D133" i="1"/>
  <c r="M132" i="9"/>
  <c r="O132" i="7"/>
  <c r="K132"/>
  <c r="W132" i="6"/>
  <c r="U132"/>
  <c r="AD132"/>
  <c r="AD176" s="1"/>
  <c r="AE176" s="1"/>
  <c r="M132"/>
  <c r="K132" i="8"/>
  <c r="U132" i="1"/>
  <c r="AA132"/>
  <c r="AG132"/>
  <c r="K132"/>
  <c r="M132"/>
  <c r="S128" i="7"/>
  <c r="S129"/>
  <c r="S130"/>
  <c r="S127"/>
  <c r="S126"/>
  <c r="Q131"/>
  <c r="Q130"/>
  <c r="Q129"/>
  <c r="S132" i="6"/>
  <c r="G131" i="7"/>
  <c r="U131" i="1"/>
  <c r="Q132"/>
  <c r="AI132"/>
  <c r="M131" i="9"/>
  <c r="I131"/>
  <c r="G132"/>
  <c r="U132" i="7"/>
  <c r="O131"/>
  <c r="M130"/>
  <c r="M131"/>
  <c r="M132"/>
  <c r="K130"/>
  <c r="K131"/>
  <c r="W131" i="6"/>
  <c r="W130"/>
  <c r="U131"/>
  <c r="Q131"/>
  <c r="M131"/>
  <c r="G130"/>
  <c r="M127" i="8"/>
  <c r="M126"/>
  <c r="I132"/>
  <c r="G132"/>
  <c r="U130" i="1"/>
  <c r="AA131"/>
  <c r="AE130"/>
  <c r="AG131"/>
  <c r="W132"/>
  <c r="S132"/>
  <c r="O132"/>
  <c r="M131"/>
  <c r="K131"/>
  <c r="I132"/>
  <c r="G132"/>
  <c r="D132" i="9"/>
  <c r="D132" i="7"/>
  <c r="D132" i="6"/>
  <c r="D132" i="8"/>
  <c r="D132" i="1"/>
  <c r="M130" i="9"/>
  <c r="U131" i="7"/>
  <c r="K129"/>
  <c r="G130"/>
  <c r="U130" i="6"/>
  <c r="S131"/>
  <c r="Q130"/>
  <c r="AE131"/>
  <c r="O130"/>
  <c r="M130"/>
  <c r="K131" i="8"/>
  <c r="G131"/>
  <c r="AK129" i="1"/>
  <c r="G131" i="9"/>
  <c r="I130"/>
  <c r="I126" i="6"/>
  <c r="I128" i="7"/>
  <c r="I127"/>
  <c r="AI131" i="1"/>
  <c r="S131"/>
  <c r="G129" i="6"/>
  <c r="K130" i="8"/>
  <c r="I131"/>
  <c r="Z118" i="1"/>
  <c r="AA130" s="1"/>
  <c r="AG130"/>
  <c r="W131"/>
  <c r="K130"/>
  <c r="G131"/>
  <c r="D131" i="9"/>
  <c r="D131" i="7"/>
  <c r="D131" i="6"/>
  <c r="D131" i="8"/>
  <c r="D131" i="1"/>
  <c r="Q131"/>
  <c r="U129"/>
  <c r="O131"/>
  <c r="I131"/>
  <c r="M130"/>
  <c r="I130"/>
  <c r="Q128" i="7"/>
  <c r="Q127"/>
  <c r="Q126"/>
  <c r="O130"/>
  <c r="S130" i="6"/>
  <c r="O129"/>
  <c r="K102"/>
  <c r="K90"/>
  <c r="AE129" i="1"/>
  <c r="AI130"/>
  <c r="K78" i="6"/>
  <c r="K66"/>
  <c r="K126"/>
  <c r="J175"/>
  <c r="K175" s="1"/>
  <c r="J174"/>
  <c r="K174" s="1"/>
  <c r="K54"/>
  <c r="K42"/>
  <c r="K30"/>
  <c r="I30"/>
  <c r="W129"/>
  <c r="U129"/>
  <c r="Q129"/>
  <c r="G128"/>
  <c r="S130" i="1"/>
  <c r="G130"/>
  <c r="D130" i="9"/>
  <c r="D130" i="7"/>
  <c r="D130" i="6"/>
  <c r="D130" i="8"/>
  <c r="D130" i="1"/>
  <c r="M129" i="9"/>
  <c r="M128"/>
  <c r="M127"/>
  <c r="I129"/>
  <c r="G130"/>
  <c r="U130" i="7"/>
  <c r="K128"/>
  <c r="G129"/>
  <c r="G128"/>
  <c r="AE130" i="6"/>
  <c r="M129"/>
  <c r="I130" i="8"/>
  <c r="G130"/>
  <c r="U128" i="1"/>
  <c r="U127"/>
  <c r="U126"/>
  <c r="AA129"/>
  <c r="W130"/>
  <c r="Q130"/>
  <c r="O130"/>
  <c r="AK126"/>
  <c r="AE128"/>
  <c r="AE127"/>
  <c r="K129"/>
  <c r="M129"/>
  <c r="M129" i="7"/>
  <c r="I126"/>
  <c r="S129" i="6"/>
  <c r="K128" i="8"/>
  <c r="K129"/>
  <c r="AN118" i="1"/>
  <c r="AO126" s="1"/>
  <c r="AO176" s="1"/>
  <c r="O129" i="7"/>
  <c r="U128" i="6"/>
  <c r="M125" i="8"/>
  <c r="M124"/>
  <c r="I129"/>
  <c r="G129"/>
  <c r="AK123" i="1"/>
  <c r="AA126"/>
  <c r="AA127"/>
  <c r="AA128"/>
  <c r="AG129"/>
  <c r="W129"/>
  <c r="AI129"/>
  <c r="G127" i="6"/>
  <c r="S129" i="1"/>
  <c r="I129"/>
  <c r="D129" i="9"/>
  <c r="D129" i="8"/>
  <c r="D129" i="1"/>
  <c r="G129"/>
  <c r="K129" i="9"/>
  <c r="K128"/>
  <c r="K127"/>
  <c r="K126"/>
  <c r="I128"/>
  <c r="G129"/>
  <c r="U129" i="7"/>
  <c r="M128"/>
  <c r="G127"/>
  <c r="W128" i="6"/>
  <c r="Q128"/>
  <c r="AE129"/>
  <c r="O128"/>
  <c r="M128"/>
  <c r="I123"/>
  <c r="AG128" i="1"/>
  <c r="Q129"/>
  <c r="O129"/>
  <c r="K125" i="9"/>
  <c r="K124"/>
  <c r="K123"/>
  <c r="S125" i="7"/>
  <c r="Q125"/>
  <c r="Q124"/>
  <c r="Q123"/>
  <c r="AC125" i="6"/>
  <c r="AC124"/>
  <c r="AB175"/>
  <c r="AC175" s="1"/>
  <c r="T175" i="1"/>
  <c r="U175" s="1"/>
  <c r="U125"/>
  <c r="U124"/>
  <c r="U123"/>
  <c r="D128" i="9"/>
  <c r="D128" i="7"/>
  <c r="D128" i="6"/>
  <c r="C176"/>
  <c r="C176" i="8"/>
  <c r="D176" s="1"/>
  <c r="D128"/>
  <c r="C176" i="1"/>
  <c r="D176" s="1"/>
  <c r="D128"/>
  <c r="Q126" i="6"/>
  <c r="M126" i="9"/>
  <c r="G128"/>
  <c r="O128" i="7"/>
  <c r="O127"/>
  <c r="O126"/>
  <c r="U127" i="6"/>
  <c r="S128"/>
  <c r="S127"/>
  <c r="Q127"/>
  <c r="O127"/>
  <c r="AE126" i="1"/>
  <c r="Q128"/>
  <c r="S128"/>
  <c r="AI128"/>
  <c r="M128"/>
  <c r="K128"/>
  <c r="I128"/>
  <c r="G128"/>
  <c r="O127" i="9"/>
  <c r="M125"/>
  <c r="M124"/>
  <c r="M123"/>
  <c r="M122"/>
  <c r="M121"/>
  <c r="I127"/>
  <c r="U128" i="7"/>
  <c r="K127"/>
  <c r="I125"/>
  <c r="G126"/>
  <c r="W126" i="6"/>
  <c r="W127"/>
  <c r="AE128"/>
  <c r="M127"/>
  <c r="M126"/>
  <c r="K127" i="8"/>
  <c r="I128"/>
  <c r="G128"/>
  <c r="I127" i="1"/>
  <c r="W128"/>
  <c r="O128"/>
  <c r="I126" i="9"/>
  <c r="G127"/>
  <c r="G126"/>
  <c r="U127" i="7"/>
  <c r="M126"/>
  <c r="M127"/>
  <c r="K126"/>
  <c r="I124"/>
  <c r="I123"/>
  <c r="I122"/>
  <c r="I121"/>
  <c r="I120"/>
  <c r="U126" i="6"/>
  <c r="AA123"/>
  <c r="AE127"/>
  <c r="O126"/>
  <c r="Y126"/>
  <c r="G126"/>
  <c r="D126"/>
  <c r="F175"/>
  <c r="G175" s="1"/>
  <c r="I127" i="8"/>
  <c r="G127"/>
  <c r="AA125" i="1"/>
  <c r="AG127"/>
  <c r="W127"/>
  <c r="Q127"/>
  <c r="S127"/>
  <c r="AI127"/>
  <c r="O127"/>
  <c r="L176"/>
  <c r="M177" s="1"/>
  <c r="M127"/>
  <c r="M126"/>
  <c r="K127"/>
  <c r="G127"/>
  <c r="D127" i="9"/>
  <c r="D127" i="7"/>
  <c r="D127" i="6"/>
  <c r="D127" i="8"/>
  <c r="D127" i="1"/>
  <c r="V175" i="6"/>
  <c r="W175" s="1"/>
  <c r="V174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AE126"/>
  <c r="F171" i="1"/>
  <c r="F172"/>
  <c r="F173"/>
  <c r="G173" s="1"/>
  <c r="F174"/>
  <c r="F175"/>
  <c r="G175" s="1"/>
  <c r="G125" i="7"/>
  <c r="K126" i="8"/>
  <c r="S114"/>
  <c r="AE125" i="1"/>
  <c r="AE124"/>
  <c r="AE123"/>
  <c r="O126"/>
  <c r="Y174" i="7"/>
  <c r="Y173"/>
  <c r="S125" i="8"/>
  <c r="S124"/>
  <c r="S123"/>
  <c r="S122"/>
  <c r="S121"/>
  <c r="S120"/>
  <c r="S119"/>
  <c r="S118"/>
  <c r="S117"/>
  <c r="S116"/>
  <c r="S115"/>
  <c r="R174"/>
  <c r="R176"/>
  <c r="R175"/>
  <c r="S175" s="1"/>
  <c r="U124" i="6"/>
  <c r="U125"/>
  <c r="U89"/>
  <c r="U81"/>
  <c r="U80"/>
  <c r="U79"/>
  <c r="U57"/>
  <c r="U30"/>
  <c r="U29"/>
  <c r="T175"/>
  <c r="U175" s="1"/>
  <c r="T174"/>
  <c r="U174" s="1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8"/>
  <c r="U87"/>
  <c r="U86"/>
  <c r="U85"/>
  <c r="U84"/>
  <c r="U83"/>
  <c r="U82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28"/>
  <c r="U27"/>
  <c r="U26"/>
  <c r="U25"/>
  <c r="U24"/>
  <c r="U23"/>
  <c r="U22"/>
  <c r="U21"/>
  <c r="U20"/>
  <c r="U19"/>
  <c r="U18"/>
  <c r="K126" i="1"/>
  <c r="Y125"/>
  <c r="Y124"/>
  <c r="Y123"/>
  <c r="Y122"/>
  <c r="Y121"/>
  <c r="AU174"/>
  <c r="AC125"/>
  <c r="AC124"/>
  <c r="AG126"/>
  <c r="W126"/>
  <c r="Q126"/>
  <c r="S126"/>
  <c r="I126"/>
  <c r="AI126"/>
  <c r="G126"/>
  <c r="C176" i="9"/>
  <c r="D176" s="1"/>
  <c r="C176" i="7"/>
  <c r="D126" i="1"/>
  <c r="J176"/>
  <c r="K176" s="1"/>
  <c r="H176"/>
  <c r="I176" s="1"/>
  <c r="M123" i="8"/>
  <c r="K125"/>
  <c r="I126"/>
  <c r="G126"/>
  <c r="D126"/>
  <c r="P176"/>
  <c r="N176"/>
  <c r="P175" i="6"/>
  <c r="G125"/>
  <c r="M125"/>
  <c r="Y125"/>
  <c r="O125"/>
  <c r="AE125"/>
  <c r="AE116"/>
  <c r="AE117"/>
  <c r="AE118"/>
  <c r="AE119"/>
  <c r="AE120"/>
  <c r="AE121"/>
  <c r="AE122"/>
  <c r="AE123"/>
  <c r="AE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B176"/>
  <c r="AC176" s="1"/>
  <c r="AF176"/>
  <c r="U125" i="7"/>
  <c r="P175"/>
  <c r="Q175" s="1"/>
  <c r="W175"/>
  <c r="W174"/>
  <c r="S124"/>
  <c r="S123"/>
  <c r="S122"/>
  <c r="S121"/>
  <c r="S120"/>
  <c r="S119"/>
  <c r="S118"/>
  <c r="S117"/>
  <c r="S116"/>
  <c r="S115"/>
  <c r="S114"/>
  <c r="AA125"/>
  <c r="AA124"/>
  <c r="AA123"/>
  <c r="AA122"/>
  <c r="U126"/>
  <c r="O125"/>
  <c r="M124"/>
  <c r="M125"/>
  <c r="M123"/>
  <c r="K125"/>
  <c r="D126"/>
  <c r="V176"/>
  <c r="W176" s="1"/>
  <c r="Z176"/>
  <c r="AB176"/>
  <c r="O126" i="9"/>
  <c r="O114"/>
  <c r="O125"/>
  <c r="O124"/>
  <c r="I125"/>
  <c r="L175"/>
  <c r="M175" s="1"/>
  <c r="M117"/>
  <c r="M118"/>
  <c r="M119"/>
  <c r="M120"/>
  <c r="G125"/>
  <c r="D126"/>
  <c r="J175"/>
  <c r="K175" s="1"/>
  <c r="H175"/>
  <c r="I175" s="1"/>
  <c r="F175"/>
  <c r="G175" s="1"/>
  <c r="G124" i="7"/>
  <c r="I118"/>
  <c r="I119"/>
  <c r="P174" i="1"/>
  <c r="Q174" s="1"/>
  <c r="Y124" i="6"/>
  <c r="M124"/>
  <c r="O124"/>
  <c r="I120"/>
  <c r="G124"/>
  <c r="M122" i="8"/>
  <c r="W125" i="1"/>
  <c r="AI125"/>
  <c r="M125"/>
  <c r="K124" i="7"/>
  <c r="I124" i="9"/>
  <c r="I125" i="8"/>
  <c r="AG125" i="1"/>
  <c r="Q125"/>
  <c r="Q124"/>
  <c r="S125"/>
  <c r="K125"/>
  <c r="G125" i="8"/>
  <c r="U120" i="1"/>
  <c r="U121"/>
  <c r="U122"/>
  <c r="I125"/>
  <c r="G125"/>
  <c r="D125" i="9"/>
  <c r="D125" i="7"/>
  <c r="D125" i="6"/>
  <c r="D125" i="8"/>
  <c r="D125" i="1"/>
  <c r="O125"/>
  <c r="AA124"/>
  <c r="G123" i="7"/>
  <c r="AA120" i="6"/>
  <c r="Z175"/>
  <c r="AA175" s="1"/>
  <c r="AA114"/>
  <c r="Y123"/>
  <c r="AI124" i="1"/>
  <c r="S124"/>
  <c r="O123" i="6"/>
  <c r="M123"/>
  <c r="G123"/>
  <c r="U124" i="7"/>
  <c r="O123"/>
  <c r="O124"/>
  <c r="I123" i="9"/>
  <c r="G124"/>
  <c r="M121" i="8"/>
  <c r="M120"/>
  <c r="K124"/>
  <c r="I124"/>
  <c r="G124"/>
  <c r="D124"/>
  <c r="D124" i="6"/>
  <c r="D124" i="7"/>
  <c r="D124" i="9"/>
  <c r="D124" i="1"/>
  <c r="U119"/>
  <c r="U118"/>
  <c r="U117"/>
  <c r="AA123"/>
  <c r="AG124"/>
  <c r="W124"/>
  <c r="O124"/>
  <c r="M124"/>
  <c r="K124"/>
  <c r="G124"/>
  <c r="I124"/>
  <c r="Q169"/>
  <c r="AC123"/>
  <c r="AC120"/>
  <c r="AC121"/>
  <c r="AC175"/>
  <c r="AC122"/>
  <c r="AG123"/>
  <c r="O123" i="9"/>
  <c r="O122"/>
  <c r="O121"/>
  <c r="O120"/>
  <c r="O119"/>
  <c r="O118"/>
  <c r="O117"/>
  <c r="O116"/>
  <c r="O115"/>
  <c r="N175"/>
  <c r="O175" s="1"/>
  <c r="K122"/>
  <c r="K121"/>
  <c r="G123"/>
  <c r="AA121" i="7"/>
  <c r="AA120"/>
  <c r="AA119"/>
  <c r="AA118"/>
  <c r="AA117"/>
  <c r="AA116"/>
  <c r="AA115"/>
  <c r="AA114"/>
  <c r="U123"/>
  <c r="Q120"/>
  <c r="Q121"/>
  <c r="Q122"/>
  <c r="J175"/>
  <c r="K175" s="1"/>
  <c r="K122"/>
  <c r="K123"/>
  <c r="G122"/>
  <c r="O122" i="6"/>
  <c r="Y122"/>
  <c r="M122"/>
  <c r="K123" i="8"/>
  <c r="I123"/>
  <c r="G123"/>
  <c r="AW114" i="1"/>
  <c r="AA122"/>
  <c r="AK120"/>
  <c r="AM123"/>
  <c r="AM122"/>
  <c r="AM121"/>
  <c r="W123"/>
  <c r="O123"/>
  <c r="AD175"/>
  <c r="AE175" s="1"/>
  <c r="G122" i="6"/>
  <c r="I122" i="9"/>
  <c r="AI123" i="1"/>
  <c r="Q123"/>
  <c r="S123"/>
  <c r="AE120"/>
  <c r="AE121"/>
  <c r="AE122"/>
  <c r="M123"/>
  <c r="K123"/>
  <c r="I123"/>
  <c r="G123"/>
  <c r="D123" i="6"/>
  <c r="D123" i="7"/>
  <c r="D123" i="9"/>
  <c r="D123" i="8"/>
  <c r="D123" i="1"/>
  <c r="O122" i="7"/>
  <c r="R175" i="6"/>
  <c r="R175" i="7"/>
  <c r="S175" s="1"/>
  <c r="Z175"/>
  <c r="AA175"/>
  <c r="T175"/>
  <c r="U175" s="1"/>
  <c r="N175"/>
  <c r="O175"/>
  <c r="L175"/>
  <c r="M175" s="1"/>
  <c r="M122"/>
  <c r="K121"/>
  <c r="O121" i="6"/>
  <c r="K122" i="8"/>
  <c r="K121"/>
  <c r="I122"/>
  <c r="AA121" i="1"/>
  <c r="AA102"/>
  <c r="G121" i="7"/>
  <c r="AH175" i="1"/>
  <c r="AI175" s="1"/>
  <c r="AI122"/>
  <c r="Y120"/>
  <c r="S122"/>
  <c r="L175"/>
  <c r="M175" s="1"/>
  <c r="M122"/>
  <c r="K120" i="9"/>
  <c r="I121"/>
  <c r="H169"/>
  <c r="I169" s="1"/>
  <c r="G122"/>
  <c r="I117" i="7"/>
  <c r="I117" i="6"/>
  <c r="Y120"/>
  <c r="Y121"/>
  <c r="M121"/>
  <c r="G121"/>
  <c r="N175" i="8"/>
  <c r="O175" s="1"/>
  <c r="O174"/>
  <c r="M119"/>
  <c r="H174"/>
  <c r="G122"/>
  <c r="U113" i="1"/>
  <c r="U112"/>
  <c r="U111"/>
  <c r="T174"/>
  <c r="I122"/>
  <c r="G122"/>
  <c r="AG122"/>
  <c r="W122"/>
  <c r="Q122"/>
  <c r="O122"/>
  <c r="K122"/>
  <c r="Q65" i="7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119"/>
  <c r="Q118"/>
  <c r="Q117"/>
  <c r="Q116"/>
  <c r="Q115"/>
  <c r="Q114"/>
  <c r="Q174"/>
  <c r="Q173"/>
  <c r="Q172"/>
  <c r="Q171"/>
  <c r="Q170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174"/>
  <c r="O171"/>
  <c r="O173"/>
  <c r="O172"/>
  <c r="U18"/>
  <c r="R174"/>
  <c r="U9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65"/>
  <c r="U164"/>
  <c r="U163"/>
  <c r="T168"/>
  <c r="T167"/>
  <c r="T166"/>
  <c r="U166" s="1"/>
  <c r="T174"/>
  <c r="U174" s="1"/>
  <c r="T173"/>
  <c r="T172"/>
  <c r="T171"/>
  <c r="T170"/>
  <c r="U171" s="1"/>
  <c r="T169"/>
  <c r="M170"/>
  <c r="M121"/>
  <c r="M86"/>
  <c r="M85"/>
  <c r="M84"/>
  <c r="M83"/>
  <c r="M82"/>
  <c r="M81"/>
  <c r="M80"/>
  <c r="M79"/>
  <c r="M78"/>
  <c r="L171"/>
  <c r="M171" s="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1"/>
  <c r="M90"/>
  <c r="L172"/>
  <c r="L173"/>
  <c r="L174"/>
  <c r="M17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1"/>
  <c r="AA90"/>
  <c r="W173"/>
  <c r="W172"/>
  <c r="W171"/>
  <c r="W170"/>
  <c r="W169"/>
  <c r="W168"/>
  <c r="W167"/>
  <c r="Z172"/>
  <c r="Z173"/>
  <c r="AA173" s="1"/>
  <c r="Z174"/>
  <c r="AA174" s="1"/>
  <c r="M170" i="9"/>
  <c r="M169"/>
  <c r="M168"/>
  <c r="M167"/>
  <c r="M166"/>
  <c r="M165"/>
  <c r="M164"/>
  <c r="M163"/>
  <c r="D122"/>
  <c r="D122" i="7"/>
  <c r="D122" i="6"/>
  <c r="D122" i="8"/>
  <c r="D122" i="1"/>
  <c r="G120" i="7"/>
  <c r="O120" i="6"/>
  <c r="O119"/>
  <c r="O118"/>
  <c r="O117"/>
  <c r="O116"/>
  <c r="O115"/>
  <c r="O114"/>
  <c r="N175"/>
  <c r="O175" s="1"/>
  <c r="X175"/>
  <c r="Y175" s="1"/>
  <c r="H175" i="8"/>
  <c r="I175" s="1"/>
  <c r="L175"/>
  <c r="M175" s="1"/>
  <c r="F175"/>
  <c r="G175" s="1"/>
  <c r="AZ175" i="1"/>
  <c r="BA175" s="1"/>
  <c r="P175"/>
  <c r="Q175" s="1"/>
  <c r="X175"/>
  <c r="Y175" s="1"/>
  <c r="U116"/>
  <c r="N175"/>
  <c r="O175" s="1"/>
  <c r="I121"/>
  <c r="G120" i="6"/>
  <c r="AI121" i="1"/>
  <c r="M121"/>
  <c r="K119" i="7"/>
  <c r="K120"/>
  <c r="K118"/>
  <c r="K117"/>
  <c r="K116"/>
  <c r="K115"/>
  <c r="K114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J166"/>
  <c r="J167"/>
  <c r="J169"/>
  <c r="K169" s="1"/>
  <c r="J168"/>
  <c r="K42"/>
  <c r="AC42"/>
  <c r="I42"/>
  <c r="K53"/>
  <c r="K52"/>
  <c r="K51"/>
  <c r="K50"/>
  <c r="K49"/>
  <c r="K48"/>
  <c r="K47"/>
  <c r="K46"/>
  <c r="K45"/>
  <c r="K44"/>
  <c r="K43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J170"/>
  <c r="K171" s="1"/>
  <c r="K101"/>
  <c r="K100"/>
  <c r="K99"/>
  <c r="K98"/>
  <c r="K97"/>
  <c r="K96"/>
  <c r="K95"/>
  <c r="K94"/>
  <c r="K93"/>
  <c r="K91"/>
  <c r="K90"/>
  <c r="K86"/>
  <c r="K85"/>
  <c r="K84"/>
  <c r="K83"/>
  <c r="K82"/>
  <c r="K81"/>
  <c r="K80"/>
  <c r="K79"/>
  <c r="K78"/>
  <c r="J171"/>
  <c r="J172"/>
  <c r="K172" s="1"/>
  <c r="C172"/>
  <c r="D172" s="1"/>
  <c r="K102"/>
  <c r="K113"/>
  <c r="K112"/>
  <c r="K111"/>
  <c r="K110"/>
  <c r="K109"/>
  <c r="K108"/>
  <c r="K107"/>
  <c r="K106"/>
  <c r="K105"/>
  <c r="K104"/>
  <c r="K103"/>
  <c r="J173"/>
  <c r="J174"/>
  <c r="K174"/>
  <c r="I121" i="8"/>
  <c r="I120"/>
  <c r="I119"/>
  <c r="I118"/>
  <c r="I117"/>
  <c r="I116"/>
  <c r="I115"/>
  <c r="I114"/>
  <c r="AC119" i="1"/>
  <c r="K121"/>
  <c r="J175"/>
  <c r="K175" s="1"/>
  <c r="H175" i="7"/>
  <c r="I175" s="1"/>
  <c r="M172" i="9"/>
  <c r="M171"/>
  <c r="L174"/>
  <c r="M174" s="1"/>
  <c r="L173"/>
  <c r="M173" s="1"/>
  <c r="M116"/>
  <c r="M115"/>
  <c r="M114"/>
  <c r="M113"/>
  <c r="M112"/>
  <c r="M111"/>
  <c r="M110"/>
  <c r="M109"/>
  <c r="M108"/>
  <c r="M107"/>
  <c r="M106"/>
  <c r="M105"/>
  <c r="M104"/>
  <c r="M103"/>
  <c r="M102"/>
  <c r="K119"/>
  <c r="K118"/>
  <c r="K117"/>
  <c r="K116"/>
  <c r="K115"/>
  <c r="K114"/>
  <c r="K78"/>
  <c r="K18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7"/>
  <c r="K86"/>
  <c r="K85"/>
  <c r="K84"/>
  <c r="K83"/>
  <c r="K82"/>
  <c r="K81"/>
  <c r="K80"/>
  <c r="K79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J172"/>
  <c r="J171"/>
  <c r="J170"/>
  <c r="J169"/>
  <c r="J168"/>
  <c r="K165"/>
  <c r="K164"/>
  <c r="K163"/>
  <c r="J167"/>
  <c r="J166"/>
  <c r="K166" s="1"/>
  <c r="J174"/>
  <c r="K174" s="1"/>
  <c r="J173"/>
  <c r="G121"/>
  <c r="I120"/>
  <c r="I116" i="7"/>
  <c r="G119"/>
  <c r="M120" i="6"/>
  <c r="G120" i="8"/>
  <c r="G121"/>
  <c r="M114"/>
  <c r="M116"/>
  <c r="M117"/>
  <c r="M118"/>
  <c r="M115"/>
  <c r="Y107" i="1"/>
  <c r="W121"/>
  <c r="AG121"/>
  <c r="BA121"/>
  <c r="Q121"/>
  <c r="S121"/>
  <c r="O121"/>
  <c r="G121"/>
  <c r="D121" i="9"/>
  <c r="D121" i="7"/>
  <c r="D121" i="6"/>
  <c r="D121" i="8"/>
  <c r="D121" i="1"/>
  <c r="I120"/>
  <c r="AG113" i="6"/>
  <c r="AG112"/>
  <c r="AG111"/>
  <c r="AG110"/>
  <c r="AG109"/>
  <c r="AG108"/>
  <c r="AG118"/>
  <c r="AG117"/>
  <c r="AG116"/>
  <c r="AG114"/>
  <c r="AF175"/>
  <c r="AG175" s="1"/>
  <c r="AD175"/>
  <c r="AE175" s="1"/>
  <c r="F175" i="7"/>
  <c r="G175" s="1"/>
  <c r="W120" i="1"/>
  <c r="I115" i="7"/>
  <c r="I114"/>
  <c r="AW175" i="1"/>
  <c r="AR175"/>
  <c r="AT175"/>
  <c r="AX175"/>
  <c r="AP175"/>
  <c r="AF175"/>
  <c r="AG175" s="1"/>
  <c r="V175"/>
  <c r="W175" s="1"/>
  <c r="AL175"/>
  <c r="AM175" s="1"/>
  <c r="R175"/>
  <c r="S175" s="1"/>
  <c r="H175"/>
  <c r="I175" s="1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H170"/>
  <c r="AH171"/>
  <c r="AH172"/>
  <c r="AH173"/>
  <c r="AH174"/>
  <c r="I119" i="9"/>
  <c r="G120"/>
  <c r="G118" i="7"/>
  <c r="Y119" i="6"/>
  <c r="M114"/>
  <c r="M119"/>
  <c r="G119"/>
  <c r="K120" i="8"/>
  <c r="U115" i="1"/>
  <c r="U114"/>
  <c r="AE119"/>
  <c r="AE118"/>
  <c r="AE117"/>
  <c r="Y119"/>
  <c r="Y118"/>
  <c r="Y117"/>
  <c r="AE30" i="6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D174"/>
  <c r="AE174" s="1"/>
  <c r="AM114" i="1"/>
  <c r="AG120"/>
  <c r="AM120"/>
  <c r="BA120"/>
  <c r="Q120"/>
  <c r="S120"/>
  <c r="O120"/>
  <c r="M119"/>
  <c r="M120"/>
  <c r="K120"/>
  <c r="D120" i="9"/>
  <c r="D120" i="7"/>
  <c r="D120" i="6"/>
  <c r="D120" i="8"/>
  <c r="C175" i="1"/>
  <c r="D175" s="1"/>
  <c r="D120"/>
  <c r="G120"/>
  <c r="H174" i="7"/>
  <c r="I113"/>
  <c r="N174" i="6"/>
  <c r="AA174"/>
  <c r="G119" i="1"/>
  <c r="X174" i="6"/>
  <c r="Y174" s="1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18"/>
  <c r="Y29"/>
  <c r="Y28"/>
  <c r="Y27"/>
  <c r="Y26"/>
  <c r="Y25"/>
  <c r="Y24"/>
  <c r="Y23"/>
  <c r="Y22"/>
  <c r="Y21"/>
  <c r="Y20"/>
  <c r="Y19"/>
  <c r="I175"/>
  <c r="I114"/>
  <c r="I118" i="9"/>
  <c r="G119"/>
  <c r="G117" i="7"/>
  <c r="AW174" i="1"/>
  <c r="AW170"/>
  <c r="AW169"/>
  <c r="AW168"/>
  <c r="BB169"/>
  <c r="BB170"/>
  <c r="AW171"/>
  <c r="AW172"/>
  <c r="AW173"/>
  <c r="M118" i="6"/>
  <c r="G118"/>
  <c r="G119" i="8"/>
  <c r="K119"/>
  <c r="AK117" i="1"/>
  <c r="AG119"/>
  <c r="Y116"/>
  <c r="W119"/>
  <c r="AM119"/>
  <c r="BA119"/>
  <c r="Q119"/>
  <c r="S119"/>
  <c r="O119"/>
  <c r="K119"/>
  <c r="I119"/>
  <c r="AC118"/>
  <c r="D119" i="8"/>
  <c r="D119" i="6"/>
  <c r="D119" i="7"/>
  <c r="D119" i="9"/>
  <c r="D119" i="1"/>
  <c r="AF174" i="6"/>
  <c r="G118" i="9"/>
  <c r="I117"/>
  <c r="AC113" i="7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1"/>
  <c r="AC90"/>
  <c r="AC86"/>
  <c r="AC85"/>
  <c r="AC84"/>
  <c r="AC83"/>
  <c r="AC82"/>
  <c r="AC81"/>
  <c r="AC80"/>
  <c r="AC79"/>
  <c r="AC78"/>
  <c r="AC59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8"/>
  <c r="AC44"/>
  <c r="AC43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B174"/>
  <c r="AC174" s="1"/>
  <c r="AB173"/>
  <c r="AB172"/>
  <c r="AB171"/>
  <c r="AB170"/>
  <c r="AC171" s="1"/>
  <c r="AB169"/>
  <c r="AB168"/>
  <c r="AB167"/>
  <c r="AB166"/>
  <c r="AC166" s="1"/>
  <c r="M117" i="6"/>
  <c r="G117"/>
  <c r="G118" i="8"/>
  <c r="K118"/>
  <c r="K117"/>
  <c r="AG118" i="1"/>
  <c r="AG117"/>
  <c r="W118"/>
  <c r="AC117"/>
  <c r="G116" i="6"/>
  <c r="AM118" i="1"/>
  <c r="BA118"/>
  <c r="AE116"/>
  <c r="AE115"/>
  <c r="AE114"/>
  <c r="I118"/>
  <c r="S118"/>
  <c r="O118"/>
  <c r="M118"/>
  <c r="D118" i="9"/>
  <c r="D118" i="7"/>
  <c r="D118" i="6"/>
  <c r="D118" i="8"/>
  <c r="D118" i="1"/>
  <c r="G118"/>
  <c r="K118"/>
  <c r="Q118"/>
  <c r="AO53"/>
  <c r="AO52"/>
  <c r="AO51"/>
  <c r="AO50"/>
  <c r="AO49"/>
  <c r="AO48"/>
  <c r="AO47"/>
  <c r="AO46"/>
  <c r="AO45"/>
  <c r="AO44"/>
  <c r="AO43"/>
  <c r="AO42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65"/>
  <c r="AO64"/>
  <c r="AO63"/>
  <c r="AO62"/>
  <c r="AO61"/>
  <c r="AO60"/>
  <c r="AO59"/>
  <c r="AO58"/>
  <c r="AO57"/>
  <c r="AO56"/>
  <c r="AO55"/>
  <c r="AO54"/>
  <c r="AO77"/>
  <c r="AO76"/>
  <c r="AO75"/>
  <c r="AO74"/>
  <c r="AO73"/>
  <c r="AO72"/>
  <c r="AO71"/>
  <c r="AO70"/>
  <c r="AO69"/>
  <c r="AO68"/>
  <c r="AO67"/>
  <c r="AO66"/>
  <c r="AO89"/>
  <c r="AO88"/>
  <c r="AO87"/>
  <c r="AO86"/>
  <c r="AO85"/>
  <c r="AO84"/>
  <c r="AO83"/>
  <c r="AO82"/>
  <c r="AO81"/>
  <c r="AO80"/>
  <c r="AO79"/>
  <c r="AO78"/>
  <c r="AO101"/>
  <c r="AO100"/>
  <c r="AO99"/>
  <c r="AO98"/>
  <c r="AO97"/>
  <c r="AO96"/>
  <c r="AO95"/>
  <c r="AO94"/>
  <c r="AO93"/>
  <c r="AO92"/>
  <c r="AO91"/>
  <c r="AO90"/>
  <c r="AN174"/>
  <c r="AN173"/>
  <c r="AN172"/>
  <c r="AN171"/>
  <c r="AN170"/>
  <c r="AN169"/>
  <c r="AN168"/>
  <c r="AC101" i="6"/>
  <c r="AC100"/>
  <c r="AC99"/>
  <c r="AC98"/>
  <c r="AC97"/>
  <c r="AC96"/>
  <c r="AC95"/>
  <c r="AC94"/>
  <c r="AC93"/>
  <c r="AC92"/>
  <c r="AC91"/>
  <c r="AC90"/>
  <c r="AC88"/>
  <c r="AC87"/>
  <c r="AC86"/>
  <c r="AC85"/>
  <c r="AC84"/>
  <c r="AC83"/>
  <c r="AC82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6"/>
  <c r="AC55"/>
  <c r="AC54"/>
  <c r="AC43"/>
  <c r="AC44"/>
  <c r="AC45"/>
  <c r="AC46"/>
  <c r="AC47"/>
  <c r="AC48"/>
  <c r="AC49"/>
  <c r="AC50"/>
  <c r="AC51"/>
  <c r="AC52"/>
  <c r="AC53"/>
  <c r="AC42"/>
  <c r="AC41"/>
  <c r="AC31"/>
  <c r="AC32"/>
  <c r="AC33"/>
  <c r="AC34"/>
  <c r="AC35"/>
  <c r="AC36"/>
  <c r="AC37"/>
  <c r="AC38"/>
  <c r="AC39"/>
  <c r="AC40"/>
  <c r="AC18"/>
  <c r="AC28"/>
  <c r="AC27"/>
  <c r="AC26"/>
  <c r="AC25"/>
  <c r="AC24"/>
  <c r="AC23"/>
  <c r="AC22"/>
  <c r="AC21"/>
  <c r="AC20"/>
  <c r="AC19"/>
  <c r="AB174"/>
  <c r="AR167" i="1"/>
  <c r="AS167" s="1"/>
  <c r="AR168"/>
  <c r="AR169"/>
  <c r="AR171"/>
  <c r="AR172"/>
  <c r="AR173"/>
  <c r="AR174"/>
  <c r="AY167"/>
  <c r="AY168"/>
  <c r="AY174"/>
  <c r="M101" i="6"/>
  <c r="M100"/>
  <c r="M99"/>
  <c r="M98"/>
  <c r="M97"/>
  <c r="M96"/>
  <c r="M95"/>
  <c r="M94"/>
  <c r="M93"/>
  <c r="M92"/>
  <c r="M91"/>
  <c r="M90"/>
  <c r="M113"/>
  <c r="M112"/>
  <c r="M111"/>
  <c r="M110"/>
  <c r="M109"/>
  <c r="M108"/>
  <c r="M107"/>
  <c r="M106"/>
  <c r="M105"/>
  <c r="M104"/>
  <c r="M103"/>
  <c r="M102"/>
  <c r="L174"/>
  <c r="L175"/>
  <c r="M175" s="1"/>
  <c r="M116"/>
  <c r="M115"/>
  <c r="G115"/>
  <c r="G114"/>
  <c r="G113"/>
  <c r="G110"/>
  <c r="G111"/>
  <c r="G112"/>
  <c r="G103"/>
  <c r="G104"/>
  <c r="G105"/>
  <c r="G106"/>
  <c r="G107"/>
  <c r="G108"/>
  <c r="G109"/>
  <c r="G102"/>
  <c r="M117" i="1"/>
  <c r="Y115"/>
  <c r="Y114"/>
  <c r="G116" i="7"/>
  <c r="G117" i="9"/>
  <c r="I116"/>
  <c r="W117" i="1"/>
  <c r="BA116"/>
  <c r="BA117"/>
  <c r="K117"/>
  <c r="G117"/>
  <c r="S117"/>
  <c r="G114"/>
  <c r="G116"/>
  <c r="P173" i="8"/>
  <c r="O173"/>
  <c r="O172"/>
  <c r="O171"/>
  <c r="O170"/>
  <c r="O169"/>
  <c r="O168"/>
  <c r="O167"/>
  <c r="O166"/>
  <c r="F174"/>
  <c r="F173"/>
  <c r="F172"/>
  <c r="F171"/>
  <c r="F170"/>
  <c r="G170" s="1"/>
  <c r="F169"/>
  <c r="F168"/>
  <c r="G168" s="1"/>
  <c r="F167"/>
  <c r="F166"/>
  <c r="G166" s="1"/>
  <c r="G165"/>
  <c r="G164"/>
  <c r="G163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8"/>
  <c r="G45"/>
  <c r="G44"/>
  <c r="G43"/>
  <c r="G42"/>
  <c r="G40"/>
  <c r="G39"/>
  <c r="G38"/>
  <c r="G32"/>
  <c r="G31"/>
  <c r="G30"/>
  <c r="G28"/>
  <c r="G18"/>
  <c r="O164" i="1"/>
  <c r="O165"/>
  <c r="O168"/>
  <c r="O163"/>
  <c r="M165"/>
  <c r="K164"/>
  <c r="K165"/>
  <c r="K163"/>
  <c r="I164"/>
  <c r="I165"/>
  <c r="I168"/>
  <c r="I163"/>
  <c r="G164"/>
  <c r="G165"/>
  <c r="G163"/>
  <c r="S165"/>
  <c r="S164"/>
  <c r="AA170"/>
  <c r="AA171"/>
  <c r="AA169"/>
  <c r="AC166"/>
  <c r="AC167"/>
  <c r="AC168"/>
  <c r="AC169"/>
  <c r="AC170"/>
  <c r="AC165"/>
  <c r="AU168"/>
  <c r="AU169"/>
  <c r="AU170"/>
  <c r="AU171"/>
  <c r="AU172"/>
  <c r="AU173"/>
  <c r="AU167"/>
  <c r="K104" i="8"/>
  <c r="K108"/>
  <c r="K114"/>
  <c r="K116"/>
  <c r="K115"/>
  <c r="K71"/>
  <c r="K113"/>
  <c r="K112"/>
  <c r="K111"/>
  <c r="K110"/>
  <c r="K109"/>
  <c r="K107"/>
  <c r="K106"/>
  <c r="K105"/>
  <c r="K103"/>
  <c r="K102"/>
  <c r="K101"/>
  <c r="K100"/>
  <c r="K99"/>
  <c r="K98"/>
  <c r="K97"/>
  <c r="K96"/>
  <c r="K95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69"/>
  <c r="K68"/>
  <c r="K67"/>
  <c r="K66"/>
  <c r="K65"/>
  <c r="K64"/>
  <c r="K63"/>
  <c r="K62"/>
  <c r="K61"/>
  <c r="K60"/>
  <c r="K59"/>
  <c r="K58"/>
  <c r="K57"/>
  <c r="K56"/>
  <c r="K55"/>
  <c r="K54"/>
  <c r="K42"/>
  <c r="K53"/>
  <c r="K52"/>
  <c r="K51"/>
  <c r="K50"/>
  <c r="K49"/>
  <c r="K48"/>
  <c r="K47"/>
  <c r="K45"/>
  <c r="K44"/>
  <c r="K43"/>
  <c r="K30"/>
  <c r="K41"/>
  <c r="K40"/>
  <c r="K39"/>
  <c r="K38"/>
  <c r="K37"/>
  <c r="K36"/>
  <c r="K35"/>
  <c r="K34"/>
  <c r="K33"/>
  <c r="K32"/>
  <c r="K31"/>
  <c r="J170"/>
  <c r="K170" s="1"/>
  <c r="J169"/>
  <c r="J168"/>
  <c r="K169" s="1"/>
  <c r="J171"/>
  <c r="J172"/>
  <c r="K173" s="1"/>
  <c r="J173"/>
  <c r="J167"/>
  <c r="J174"/>
  <c r="J175"/>
  <c r="K175" s="1"/>
  <c r="D117"/>
  <c r="D117" i="9"/>
  <c r="C117" i="7"/>
  <c r="C117" i="6"/>
  <c r="D129" s="1"/>
  <c r="D117" i="1"/>
  <c r="W116"/>
  <c r="AM117"/>
  <c r="O117"/>
  <c r="K116"/>
  <c r="I117"/>
  <c r="L174" i="8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1"/>
  <c r="M20"/>
  <c r="M19"/>
  <c r="M18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5"/>
  <c r="M44"/>
  <c r="M43"/>
  <c r="M42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69"/>
  <c r="M68"/>
  <c r="M67"/>
  <c r="M66"/>
  <c r="M101"/>
  <c r="M93"/>
  <c r="M91"/>
  <c r="M90"/>
  <c r="M113"/>
  <c r="M112"/>
  <c r="M111"/>
  <c r="M110"/>
  <c r="M109"/>
  <c r="M108"/>
  <c r="M107"/>
  <c r="M106"/>
  <c r="M105"/>
  <c r="M104"/>
  <c r="M103"/>
  <c r="M102"/>
  <c r="M100"/>
  <c r="M99"/>
  <c r="M98"/>
  <c r="M97"/>
  <c r="M96"/>
  <c r="M95"/>
  <c r="M92"/>
  <c r="L173"/>
  <c r="M174" s="1"/>
  <c r="L172"/>
  <c r="L171"/>
  <c r="L170"/>
  <c r="L169"/>
  <c r="M170" s="1"/>
  <c r="L168"/>
  <c r="L167"/>
  <c r="M167" s="1"/>
  <c r="L166"/>
  <c r="C175"/>
  <c r="D175" s="1"/>
  <c r="C174"/>
  <c r="D174" s="1"/>
  <c r="C172"/>
  <c r="D173" s="1"/>
  <c r="C171"/>
  <c r="D171" s="1"/>
  <c r="C170"/>
  <c r="C169"/>
  <c r="D170" s="1"/>
  <c r="C168"/>
  <c r="C167"/>
  <c r="D167" s="1"/>
  <c r="D166"/>
  <c r="D165"/>
  <c r="D164"/>
  <c r="D163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AG116" i="1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F173"/>
  <c r="AF174"/>
  <c r="AG174" s="1"/>
  <c r="AF172"/>
  <c r="AF171"/>
  <c r="AF170"/>
  <c r="AF169"/>
  <c r="AF168"/>
  <c r="AF167"/>
  <c r="AF166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M170"/>
  <c r="AM169"/>
  <c r="BC65"/>
  <c r="BC64"/>
  <c r="BC63"/>
  <c r="BC62"/>
  <c r="BC61"/>
  <c r="BC60"/>
  <c r="BC59"/>
  <c r="AY171"/>
  <c r="AY173"/>
  <c r="AY172"/>
  <c r="AY170"/>
  <c r="AY169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W86"/>
  <c r="W90"/>
  <c r="W91"/>
  <c r="W92"/>
  <c r="W93"/>
  <c r="W94"/>
  <c r="W95"/>
  <c r="W96"/>
  <c r="W97"/>
  <c r="W98"/>
  <c r="W99"/>
  <c r="W100"/>
  <c r="W101"/>
  <c r="AC116"/>
  <c r="AS166"/>
  <c r="AS165"/>
  <c r="AS164"/>
  <c r="AS163"/>
  <c r="AP6"/>
  <c r="AP15"/>
  <c r="AP18"/>
  <c r="AP24"/>
  <c r="AP21"/>
  <c r="AP27"/>
  <c r="AP39"/>
  <c r="AP36"/>
  <c r="AQ36" s="1"/>
  <c r="AP33"/>
  <c r="AQ33" s="1"/>
  <c r="AP30"/>
  <c r="AP51"/>
  <c r="AQ51" s="1"/>
  <c r="AP48"/>
  <c r="AP45"/>
  <c r="AP42"/>
  <c r="AP63"/>
  <c r="AP60"/>
  <c r="AQ60" s="1"/>
  <c r="AP57"/>
  <c r="AP54"/>
  <c r="AQ54" s="1"/>
  <c r="AP75"/>
  <c r="AP72"/>
  <c r="AQ72" s="1"/>
  <c r="AP66"/>
  <c r="AQ66" s="1"/>
  <c r="AP87"/>
  <c r="AP84"/>
  <c r="AP81"/>
  <c r="AP78"/>
  <c r="AQ78" s="1"/>
  <c r="AQ167"/>
  <c r="AQ166"/>
  <c r="AQ165"/>
  <c r="AQ164"/>
  <c r="AQ163"/>
  <c r="AQ173"/>
  <c r="AQ172"/>
  <c r="AQ171"/>
  <c r="AQ170"/>
  <c r="AQ169"/>
  <c r="AQ168"/>
  <c r="AP99"/>
  <c r="AP96"/>
  <c r="AP93"/>
  <c r="AP90"/>
  <c r="W53"/>
  <c r="W52"/>
  <c r="W51"/>
  <c r="W50"/>
  <c r="W49"/>
  <c r="W48"/>
  <c r="W47"/>
  <c r="W46"/>
  <c r="W45"/>
  <c r="W44"/>
  <c r="W43"/>
  <c r="W42"/>
  <c r="V168"/>
  <c r="W65"/>
  <c r="W64"/>
  <c r="W63"/>
  <c r="W62"/>
  <c r="W61"/>
  <c r="W60"/>
  <c r="W59"/>
  <c r="W58"/>
  <c r="W57"/>
  <c r="W56"/>
  <c r="W55"/>
  <c r="W54"/>
  <c r="V169"/>
  <c r="V170"/>
  <c r="W170" s="1"/>
  <c r="W87"/>
  <c r="W77"/>
  <c r="W76"/>
  <c r="W75"/>
  <c r="W74"/>
  <c r="W73"/>
  <c r="W72"/>
  <c r="W71"/>
  <c r="W70"/>
  <c r="W69"/>
  <c r="W68"/>
  <c r="W67"/>
  <c r="W66"/>
  <c r="W89"/>
  <c r="W88"/>
  <c r="W85"/>
  <c r="W84"/>
  <c r="W83"/>
  <c r="W82"/>
  <c r="W81"/>
  <c r="W80"/>
  <c r="W79"/>
  <c r="W78"/>
  <c r="W113"/>
  <c r="W112"/>
  <c r="W111"/>
  <c r="W110"/>
  <c r="W109"/>
  <c r="W108"/>
  <c r="W107"/>
  <c r="W106"/>
  <c r="W105"/>
  <c r="W104"/>
  <c r="W103"/>
  <c r="W102"/>
  <c r="W114"/>
  <c r="W115"/>
  <c r="V174"/>
  <c r="W174" s="1"/>
  <c r="V173"/>
  <c r="V171"/>
  <c r="V172"/>
  <c r="Q117"/>
  <c r="AK105"/>
  <c r="AK42"/>
  <c r="AK48"/>
  <c r="AJ168"/>
  <c r="AK168" s="1"/>
  <c r="AK60"/>
  <c r="AK72"/>
  <c r="AK66"/>
  <c r="AK54"/>
  <c r="AJ169"/>
  <c r="AK78"/>
  <c r="AK84"/>
  <c r="AJ171"/>
  <c r="AK87"/>
  <c r="AJ170"/>
  <c r="AK99"/>
  <c r="AK96"/>
  <c r="AK93"/>
  <c r="AK90"/>
  <c r="AJ172"/>
  <c r="AJ173"/>
  <c r="AJ174"/>
  <c r="AK174" s="1"/>
  <c r="AK111"/>
  <c r="AK108"/>
  <c r="AK102"/>
  <c r="AK114"/>
  <c r="AM110"/>
  <c r="AL171"/>
  <c r="AM171" s="1"/>
  <c r="AL172"/>
  <c r="AL173"/>
  <c r="AL174"/>
  <c r="AM174" s="1"/>
  <c r="BA168"/>
  <c r="BA167"/>
  <c r="AZ174"/>
  <c r="BA174" s="1"/>
  <c r="AZ171"/>
  <c r="AZ172"/>
  <c r="AZ173"/>
  <c r="AZ170"/>
  <c r="AZ169"/>
  <c r="BA169" s="1"/>
  <c r="AM102"/>
  <c r="AM103"/>
  <c r="AM104"/>
  <c r="AM105"/>
  <c r="AM106"/>
  <c r="AM107"/>
  <c r="AM108"/>
  <c r="AM109"/>
  <c r="AM111"/>
  <c r="AM112"/>
  <c r="AM113"/>
  <c r="AM115"/>
  <c r="AM116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82"/>
  <c r="AM81"/>
  <c r="AM80"/>
  <c r="AM79"/>
  <c r="AM78"/>
  <c r="C175" i="9"/>
  <c r="D175" s="1"/>
  <c r="F174"/>
  <c r="G174" s="1"/>
  <c r="H174"/>
  <c r="I174" s="1"/>
  <c r="N174"/>
  <c r="O174" s="1"/>
  <c r="C174"/>
  <c r="D174" s="1"/>
  <c r="F173"/>
  <c r="G173" s="1"/>
  <c r="H173"/>
  <c r="I173" s="1"/>
  <c r="N173"/>
  <c r="O173" s="1"/>
  <c r="D173"/>
  <c r="F172"/>
  <c r="G172" s="1"/>
  <c r="H172"/>
  <c r="I172" s="1"/>
  <c r="N172"/>
  <c r="O172" s="1"/>
  <c r="C172"/>
  <c r="D172" s="1"/>
  <c r="F171"/>
  <c r="H171"/>
  <c r="N171"/>
  <c r="C171"/>
  <c r="F170"/>
  <c r="H170"/>
  <c r="I170" s="1"/>
  <c r="N170"/>
  <c r="C170"/>
  <c r="F169"/>
  <c r="G169" s="1"/>
  <c r="N169"/>
  <c r="O169" s="1"/>
  <c r="C169"/>
  <c r="F168"/>
  <c r="G168" s="1"/>
  <c r="H168"/>
  <c r="I168" s="1"/>
  <c r="N168"/>
  <c r="O168" s="1"/>
  <c r="C168"/>
  <c r="F167"/>
  <c r="H167"/>
  <c r="N167"/>
  <c r="C167"/>
  <c r="D167" s="1"/>
  <c r="F166"/>
  <c r="H166"/>
  <c r="N166"/>
  <c r="D166"/>
  <c r="D165"/>
  <c r="D164"/>
  <c r="D163"/>
  <c r="G116"/>
  <c r="D116"/>
  <c r="G115"/>
  <c r="I115"/>
  <c r="D115"/>
  <c r="G114"/>
  <c r="I114"/>
  <c r="D114"/>
  <c r="G113"/>
  <c r="I113"/>
  <c r="O113"/>
  <c r="D113"/>
  <c r="G112"/>
  <c r="I112"/>
  <c r="O112"/>
  <c r="D112"/>
  <c r="G111"/>
  <c r="I111"/>
  <c r="D111"/>
  <c r="G110"/>
  <c r="I110"/>
  <c r="O110"/>
  <c r="D110"/>
  <c r="G109"/>
  <c r="I109"/>
  <c r="O109"/>
  <c r="D109"/>
  <c r="G108"/>
  <c r="I108"/>
  <c r="O108"/>
  <c r="D108"/>
  <c r="G107"/>
  <c r="I107"/>
  <c r="O107"/>
  <c r="D107"/>
  <c r="G106"/>
  <c r="I106"/>
  <c r="O106"/>
  <c r="D106"/>
  <c r="G105"/>
  <c r="I105"/>
  <c r="O105"/>
  <c r="D105"/>
  <c r="G104"/>
  <c r="I104"/>
  <c r="O104"/>
  <c r="D104"/>
  <c r="G103"/>
  <c r="I103"/>
  <c r="O103"/>
  <c r="D103"/>
  <c r="G102"/>
  <c r="I102"/>
  <c r="O102"/>
  <c r="D102"/>
  <c r="G101"/>
  <c r="I101"/>
  <c r="O101"/>
  <c r="D101"/>
  <c r="G100"/>
  <c r="I100"/>
  <c r="O100"/>
  <c r="D100"/>
  <c r="G99"/>
  <c r="I99"/>
  <c r="O99"/>
  <c r="D99"/>
  <c r="G98"/>
  <c r="I98"/>
  <c r="O98"/>
  <c r="D98"/>
  <c r="G97"/>
  <c r="I97"/>
  <c r="O97"/>
  <c r="D97"/>
  <c r="G96"/>
  <c r="I96"/>
  <c r="O96"/>
  <c r="D96"/>
  <c r="G95"/>
  <c r="I95"/>
  <c r="O95"/>
  <c r="D95"/>
  <c r="G94"/>
  <c r="I94"/>
  <c r="O94"/>
  <c r="D94"/>
  <c r="G93"/>
  <c r="I93"/>
  <c r="O93"/>
  <c r="D93"/>
  <c r="G92"/>
  <c r="I92"/>
  <c r="O92"/>
  <c r="D92"/>
  <c r="G91"/>
  <c r="I91"/>
  <c r="O91"/>
  <c r="D91"/>
  <c r="G90"/>
  <c r="I90"/>
  <c r="O90"/>
  <c r="G89"/>
  <c r="I89"/>
  <c r="G87"/>
  <c r="I87"/>
  <c r="G86"/>
  <c r="I86"/>
  <c r="O86"/>
  <c r="G85"/>
  <c r="I85"/>
  <c r="O85"/>
  <c r="G84"/>
  <c r="I84"/>
  <c r="O84"/>
  <c r="G83"/>
  <c r="I83"/>
  <c r="O83"/>
  <c r="G82"/>
  <c r="I82"/>
  <c r="O82"/>
  <c r="G81"/>
  <c r="I81"/>
  <c r="O81"/>
  <c r="G80"/>
  <c r="I80"/>
  <c r="O80"/>
  <c r="G79"/>
  <c r="I79"/>
  <c r="O79"/>
  <c r="G78"/>
  <c r="I78"/>
  <c r="O78"/>
  <c r="G77"/>
  <c r="I77"/>
  <c r="O77"/>
  <c r="G76"/>
  <c r="I76"/>
  <c r="O76"/>
  <c r="G75"/>
  <c r="I75"/>
  <c r="O75"/>
  <c r="G74"/>
  <c r="I74"/>
  <c r="O74"/>
  <c r="G73"/>
  <c r="I73"/>
  <c r="O73"/>
  <c r="G72"/>
  <c r="I72"/>
  <c r="O72"/>
  <c r="G71"/>
  <c r="I71"/>
  <c r="O71"/>
  <c r="G70"/>
  <c r="I70"/>
  <c r="O70"/>
  <c r="G69"/>
  <c r="I69"/>
  <c r="O69"/>
  <c r="G68"/>
  <c r="I68"/>
  <c r="O68"/>
  <c r="G67"/>
  <c r="I67"/>
  <c r="O67"/>
  <c r="G66"/>
  <c r="I66"/>
  <c r="O66"/>
  <c r="G65"/>
  <c r="I65"/>
  <c r="O65"/>
  <c r="G64"/>
  <c r="I64"/>
  <c r="O64"/>
  <c r="G63"/>
  <c r="I63"/>
  <c r="O63"/>
  <c r="G62"/>
  <c r="I62"/>
  <c r="O62"/>
  <c r="G61"/>
  <c r="I61"/>
  <c r="O61"/>
  <c r="G60"/>
  <c r="I60"/>
  <c r="O60"/>
  <c r="G59"/>
  <c r="I59"/>
  <c r="O59"/>
  <c r="G58"/>
  <c r="G57"/>
  <c r="G56"/>
  <c r="G55"/>
  <c r="I55"/>
  <c r="O55"/>
  <c r="G54"/>
  <c r="I54"/>
  <c r="O54"/>
  <c r="G53"/>
  <c r="I53"/>
  <c r="O53"/>
  <c r="G52"/>
  <c r="I52"/>
  <c r="O52"/>
  <c r="G51"/>
  <c r="I51"/>
  <c r="O51"/>
  <c r="G50"/>
  <c r="I50"/>
  <c r="O50"/>
  <c r="G49"/>
  <c r="I49"/>
  <c r="O49"/>
  <c r="G48"/>
  <c r="I48"/>
  <c r="O48"/>
  <c r="G47"/>
  <c r="I47"/>
  <c r="O47"/>
  <c r="G46"/>
  <c r="I46"/>
  <c r="O46"/>
  <c r="G45"/>
  <c r="I45"/>
  <c r="O45"/>
  <c r="G44"/>
  <c r="I44"/>
  <c r="O44"/>
  <c r="G43"/>
  <c r="I43"/>
  <c r="O43"/>
  <c r="D43"/>
  <c r="G42"/>
  <c r="I42"/>
  <c r="O42"/>
  <c r="D42"/>
  <c r="G41"/>
  <c r="I41"/>
  <c r="O41"/>
  <c r="D41"/>
  <c r="G40"/>
  <c r="I40"/>
  <c r="O40"/>
  <c r="D40"/>
  <c r="G39"/>
  <c r="I39"/>
  <c r="O39"/>
  <c r="D39"/>
  <c r="G38"/>
  <c r="I38"/>
  <c r="O38"/>
  <c r="D38"/>
  <c r="G37"/>
  <c r="I37"/>
  <c r="O37"/>
  <c r="D37"/>
  <c r="G36"/>
  <c r="I36"/>
  <c r="O36"/>
  <c r="D36"/>
  <c r="G35"/>
  <c r="I35"/>
  <c r="O35"/>
  <c r="D35"/>
  <c r="G34"/>
  <c r="I34"/>
  <c r="O34"/>
  <c r="D34"/>
  <c r="G33"/>
  <c r="I33"/>
  <c r="O33"/>
  <c r="D33"/>
  <c r="G32"/>
  <c r="I32"/>
  <c r="O32"/>
  <c r="D32"/>
  <c r="G31"/>
  <c r="I31"/>
  <c r="O31"/>
  <c r="D31"/>
  <c r="G30"/>
  <c r="I30"/>
  <c r="O30"/>
  <c r="D30"/>
  <c r="G29"/>
  <c r="I29"/>
  <c r="O29"/>
  <c r="D29"/>
  <c r="G28"/>
  <c r="I28"/>
  <c r="O28"/>
  <c r="D28"/>
  <c r="G27"/>
  <c r="I27"/>
  <c r="O27"/>
  <c r="D27"/>
  <c r="G26"/>
  <c r="I26"/>
  <c r="O26"/>
  <c r="D26"/>
  <c r="G25"/>
  <c r="I25"/>
  <c r="O25"/>
  <c r="D25"/>
  <c r="G24"/>
  <c r="I24"/>
  <c r="O24"/>
  <c r="D24"/>
  <c r="G23"/>
  <c r="I23"/>
  <c r="O23"/>
  <c r="D23"/>
  <c r="G22"/>
  <c r="I22"/>
  <c r="O22"/>
  <c r="D22"/>
  <c r="G21"/>
  <c r="I21"/>
  <c r="O21"/>
  <c r="D21"/>
  <c r="G20"/>
  <c r="I20"/>
  <c r="O20"/>
  <c r="D20"/>
  <c r="G19"/>
  <c r="I19"/>
  <c r="O19"/>
  <c r="D19"/>
  <c r="G18"/>
  <c r="I18"/>
  <c r="O18"/>
  <c r="D18"/>
  <c r="F174" i="7"/>
  <c r="G174" s="1"/>
  <c r="C174"/>
  <c r="D174" s="1"/>
  <c r="H173"/>
  <c r="F173"/>
  <c r="D173"/>
  <c r="H172"/>
  <c r="I173" s="1"/>
  <c r="F172"/>
  <c r="H171"/>
  <c r="F171"/>
  <c r="C171"/>
  <c r="H170"/>
  <c r="F170"/>
  <c r="C170"/>
  <c r="H169"/>
  <c r="I169" s="1"/>
  <c r="F169"/>
  <c r="G169" s="1"/>
  <c r="C169"/>
  <c r="H168"/>
  <c r="I168" s="1"/>
  <c r="F168"/>
  <c r="G168"/>
  <c r="C168"/>
  <c r="H167"/>
  <c r="F167"/>
  <c r="C167"/>
  <c r="D167" s="1"/>
  <c r="H166"/>
  <c r="I166" s="1"/>
  <c r="F166"/>
  <c r="G167" s="1"/>
  <c r="D166"/>
  <c r="D165"/>
  <c r="D164"/>
  <c r="D163"/>
  <c r="D116"/>
  <c r="G115"/>
  <c r="D115"/>
  <c r="G114"/>
  <c r="D114"/>
  <c r="G113"/>
  <c r="D113"/>
  <c r="I112"/>
  <c r="G112"/>
  <c r="D112"/>
  <c r="I111"/>
  <c r="G111"/>
  <c r="D111"/>
  <c r="I110"/>
  <c r="G110"/>
  <c r="D110"/>
  <c r="I109"/>
  <c r="G109"/>
  <c r="D109"/>
  <c r="I108"/>
  <c r="G108"/>
  <c r="D108"/>
  <c r="I107"/>
  <c r="G107"/>
  <c r="D107"/>
  <c r="I106"/>
  <c r="G106"/>
  <c r="D106"/>
  <c r="I105"/>
  <c r="G105"/>
  <c r="D105"/>
  <c r="I104"/>
  <c r="G104"/>
  <c r="D104"/>
  <c r="I103"/>
  <c r="G103"/>
  <c r="D103"/>
  <c r="I102"/>
  <c r="G102"/>
  <c r="D102"/>
  <c r="I101"/>
  <c r="G101"/>
  <c r="D101"/>
  <c r="I100"/>
  <c r="G100"/>
  <c r="D100"/>
  <c r="I99"/>
  <c r="G99"/>
  <c r="D99"/>
  <c r="I98"/>
  <c r="G98"/>
  <c r="D98"/>
  <c r="I97"/>
  <c r="G97"/>
  <c r="D97"/>
  <c r="I96"/>
  <c r="G96"/>
  <c r="D96"/>
  <c r="I95"/>
  <c r="G95"/>
  <c r="D95"/>
  <c r="I94"/>
  <c r="G94"/>
  <c r="D94"/>
  <c r="I93"/>
  <c r="G93"/>
  <c r="D93"/>
  <c r="G92"/>
  <c r="D92"/>
  <c r="I91"/>
  <c r="G91"/>
  <c r="D91"/>
  <c r="I90"/>
  <c r="G90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G57"/>
  <c r="G56"/>
  <c r="G55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D43"/>
  <c r="G42"/>
  <c r="D42"/>
  <c r="G41"/>
  <c r="D41"/>
  <c r="G40"/>
  <c r="D40"/>
  <c r="G39"/>
  <c r="D39"/>
  <c r="I38"/>
  <c r="G38"/>
  <c r="D38"/>
  <c r="I37"/>
  <c r="G37"/>
  <c r="D37"/>
  <c r="I36"/>
  <c r="G36"/>
  <c r="D36"/>
  <c r="I35"/>
  <c r="G35"/>
  <c r="D35"/>
  <c r="I34"/>
  <c r="G34"/>
  <c r="D34"/>
  <c r="I33"/>
  <c r="G33"/>
  <c r="D33"/>
  <c r="I32"/>
  <c r="G32"/>
  <c r="D32"/>
  <c r="I31"/>
  <c r="G31"/>
  <c r="D31"/>
  <c r="I30"/>
  <c r="G30"/>
  <c r="D30"/>
  <c r="I29"/>
  <c r="G29"/>
  <c r="D29"/>
  <c r="I28"/>
  <c r="G28"/>
  <c r="D28"/>
  <c r="I27"/>
  <c r="G27"/>
  <c r="D27"/>
  <c r="I26"/>
  <c r="G26"/>
  <c r="D26"/>
  <c r="I25"/>
  <c r="G25"/>
  <c r="D25"/>
  <c r="I24"/>
  <c r="G24"/>
  <c r="D24"/>
  <c r="I23"/>
  <c r="G23"/>
  <c r="D23"/>
  <c r="I22"/>
  <c r="G22"/>
  <c r="D22"/>
  <c r="I21"/>
  <c r="G21"/>
  <c r="D21"/>
  <c r="I20"/>
  <c r="G20"/>
  <c r="D20"/>
  <c r="I19"/>
  <c r="G19"/>
  <c r="D19"/>
  <c r="I18"/>
  <c r="G18"/>
  <c r="D18"/>
  <c r="I174" i="6"/>
  <c r="F174"/>
  <c r="C174"/>
  <c r="D174" s="1"/>
  <c r="D116"/>
  <c r="D115"/>
  <c r="D114"/>
  <c r="D113"/>
  <c r="D112"/>
  <c r="I111"/>
  <c r="D111"/>
  <c r="D110"/>
  <c r="D109"/>
  <c r="I108"/>
  <c r="D108"/>
  <c r="D107"/>
  <c r="D106"/>
  <c r="I105"/>
  <c r="D105"/>
  <c r="D104"/>
  <c r="D103"/>
  <c r="I102"/>
  <c r="D102"/>
  <c r="G101"/>
  <c r="D101"/>
  <c r="G100"/>
  <c r="D100"/>
  <c r="I99"/>
  <c r="G99"/>
  <c r="D99"/>
  <c r="G98"/>
  <c r="D98"/>
  <c r="G97"/>
  <c r="D97"/>
  <c r="I96"/>
  <c r="G96"/>
  <c r="D96"/>
  <c r="G95"/>
  <c r="D95"/>
  <c r="G94"/>
  <c r="D94"/>
  <c r="I93"/>
  <c r="G93"/>
  <c r="D93"/>
  <c r="G92"/>
  <c r="D92"/>
  <c r="G91"/>
  <c r="D91"/>
  <c r="I90"/>
  <c r="G90"/>
  <c r="I87"/>
  <c r="G86"/>
  <c r="G85"/>
  <c r="I84"/>
  <c r="G84"/>
  <c r="G83"/>
  <c r="G82"/>
  <c r="I81"/>
  <c r="G81"/>
  <c r="G80"/>
  <c r="G79"/>
  <c r="I78"/>
  <c r="G78"/>
  <c r="G77"/>
  <c r="G76"/>
  <c r="I75"/>
  <c r="G75"/>
  <c r="G74"/>
  <c r="G73"/>
  <c r="I72"/>
  <c r="G72"/>
  <c r="G71"/>
  <c r="G70"/>
  <c r="I69"/>
  <c r="G69"/>
  <c r="G68"/>
  <c r="G67"/>
  <c r="I66"/>
  <c r="G66"/>
  <c r="G65"/>
  <c r="G64"/>
  <c r="I63"/>
  <c r="G63"/>
  <c r="G62"/>
  <c r="G61"/>
  <c r="I60"/>
  <c r="G60"/>
  <c r="G59"/>
  <c r="G58"/>
  <c r="I57"/>
  <c r="G57"/>
  <c r="G56"/>
  <c r="G55"/>
  <c r="I54"/>
  <c r="G54"/>
  <c r="G53"/>
  <c r="G52"/>
  <c r="I51"/>
  <c r="G51"/>
  <c r="G50"/>
  <c r="G49"/>
  <c r="I48"/>
  <c r="G48"/>
  <c r="G47"/>
  <c r="G46"/>
  <c r="I45"/>
  <c r="G45"/>
  <c r="G44"/>
  <c r="G43"/>
  <c r="D43"/>
  <c r="I42"/>
  <c r="G42"/>
  <c r="D42"/>
  <c r="G41"/>
  <c r="D41"/>
  <c r="G40"/>
  <c r="D40"/>
  <c r="I39"/>
  <c r="G39"/>
  <c r="D39"/>
  <c r="G38"/>
  <c r="D38"/>
  <c r="G37"/>
  <c r="D37"/>
  <c r="I36"/>
  <c r="G36"/>
  <c r="D36"/>
  <c r="G35"/>
  <c r="D35"/>
  <c r="G34"/>
  <c r="D34"/>
  <c r="I33"/>
  <c r="G33"/>
  <c r="D33"/>
  <c r="G32"/>
  <c r="D32"/>
  <c r="G31"/>
  <c r="D31"/>
  <c r="G30"/>
  <c r="D30"/>
  <c r="G29"/>
  <c r="D29"/>
  <c r="G28"/>
  <c r="D28"/>
  <c r="I27"/>
  <c r="G27"/>
  <c r="D27"/>
  <c r="G26"/>
  <c r="D26"/>
  <c r="G25"/>
  <c r="D25"/>
  <c r="I24"/>
  <c r="G24"/>
  <c r="D24"/>
  <c r="G23"/>
  <c r="D23"/>
  <c r="G22"/>
  <c r="D22"/>
  <c r="I21"/>
  <c r="G21"/>
  <c r="D21"/>
  <c r="G20"/>
  <c r="D20"/>
  <c r="G19"/>
  <c r="D19"/>
  <c r="I18"/>
  <c r="G18"/>
  <c r="D18"/>
  <c r="BA56" i="1"/>
  <c r="BA65"/>
  <c r="BA64"/>
  <c r="BA63"/>
  <c r="BA62"/>
  <c r="BA61"/>
  <c r="BA60"/>
  <c r="BA59"/>
  <c r="BA58"/>
  <c r="BA57"/>
  <c r="BA55"/>
  <c r="BA54"/>
  <c r="BA77"/>
  <c r="BA76"/>
  <c r="BA75"/>
  <c r="BA74"/>
  <c r="BA73"/>
  <c r="BA72"/>
  <c r="BA71"/>
  <c r="BA70"/>
  <c r="BA69"/>
  <c r="BA68"/>
  <c r="BA67"/>
  <c r="BA66"/>
  <c r="BA78"/>
  <c r="BA89"/>
  <c r="BA88"/>
  <c r="BA87"/>
  <c r="BA86"/>
  <c r="BA85"/>
  <c r="BA84"/>
  <c r="BA83"/>
  <c r="BA82"/>
  <c r="BA81"/>
  <c r="BA80"/>
  <c r="BA79"/>
  <c r="BA102"/>
  <c r="BA103"/>
  <c r="BA104"/>
  <c r="BA113"/>
  <c r="BA112"/>
  <c r="BA111"/>
  <c r="BA110"/>
  <c r="BA109"/>
  <c r="BA108"/>
  <c r="BA107"/>
  <c r="BA106"/>
  <c r="BA105"/>
  <c r="BA114"/>
  <c r="BA115"/>
  <c r="BA99"/>
  <c r="BA90"/>
  <c r="BA98"/>
  <c r="BA91"/>
  <c r="BA92"/>
  <c r="BA93"/>
  <c r="BA94"/>
  <c r="BA95"/>
  <c r="BA96"/>
  <c r="BA97"/>
  <c r="BA100"/>
  <c r="BA101"/>
  <c r="Q90"/>
  <c r="AC114"/>
  <c r="M116"/>
  <c r="I116"/>
  <c r="G115"/>
  <c r="C174"/>
  <c r="D174" s="1"/>
  <c r="AC115"/>
  <c r="Q116"/>
  <c r="S116"/>
  <c r="U108"/>
  <c r="U109"/>
  <c r="U110"/>
  <c r="O116"/>
  <c r="D116"/>
  <c r="D115"/>
  <c r="M114"/>
  <c r="M115"/>
  <c r="Q115"/>
  <c r="S115"/>
  <c r="S114"/>
  <c r="O115"/>
  <c r="K115"/>
  <c r="K114"/>
  <c r="I115"/>
  <c r="I114"/>
  <c r="AA113"/>
  <c r="AE111"/>
  <c r="AE112"/>
  <c r="AE113"/>
  <c r="Q114"/>
  <c r="O114"/>
  <c r="D114"/>
  <c r="AC113"/>
  <c r="M113"/>
  <c r="G113"/>
  <c r="AA112"/>
  <c r="AA111"/>
  <c r="AA110"/>
  <c r="AA109"/>
  <c r="AA99"/>
  <c r="AA98"/>
  <c r="AC112"/>
  <c r="AC111"/>
  <c r="S113"/>
  <c r="O113"/>
  <c r="Y113"/>
  <c r="K113"/>
  <c r="I113"/>
  <c r="Q40"/>
  <c r="D113"/>
  <c r="Q112"/>
  <c r="Y110"/>
  <c r="Y111"/>
  <c r="Y112"/>
  <c r="S112"/>
  <c r="O112"/>
  <c r="AE108"/>
  <c r="AE109"/>
  <c r="AE110"/>
  <c r="K112"/>
  <c r="M111"/>
  <c r="M112"/>
  <c r="D112"/>
  <c r="I112"/>
  <c r="G112"/>
  <c r="Q111"/>
  <c r="AC110"/>
  <c r="S111"/>
  <c r="O110"/>
  <c r="O111"/>
  <c r="D111"/>
  <c r="M110"/>
  <c r="K111"/>
  <c r="I111"/>
  <c r="I110"/>
  <c r="G111"/>
  <c r="D110"/>
  <c r="Q110"/>
  <c r="AC109"/>
  <c r="Y109"/>
  <c r="Y106"/>
  <c r="Y108"/>
  <c r="U107"/>
  <c r="S110"/>
  <c r="M109"/>
  <c r="K110"/>
  <c r="G110"/>
  <c r="D109"/>
  <c r="Q109"/>
  <c r="S109"/>
  <c r="O109"/>
  <c r="K109"/>
  <c r="I109"/>
  <c r="G109"/>
  <c r="AC108"/>
  <c r="AE107"/>
  <c r="AC107"/>
  <c r="AC104"/>
  <c r="AC105"/>
  <c r="AC106"/>
  <c r="O108"/>
  <c r="S108"/>
  <c r="D108"/>
  <c r="M108"/>
  <c r="G108"/>
  <c r="K108"/>
  <c r="I108"/>
  <c r="AE106"/>
  <c r="AE105"/>
  <c r="AE104"/>
  <c r="AE103"/>
  <c r="AE102"/>
  <c r="M107"/>
  <c r="I107"/>
  <c r="O107"/>
  <c r="Q107"/>
  <c r="Q108"/>
  <c r="Q106"/>
  <c r="U106"/>
  <c r="S107"/>
  <c r="D107"/>
  <c r="K107"/>
  <c r="G107"/>
  <c r="Y105"/>
  <c r="S106"/>
  <c r="U105"/>
  <c r="D106"/>
  <c r="O106"/>
  <c r="M105"/>
  <c r="M106"/>
  <c r="K106"/>
  <c r="I105"/>
  <c r="I106"/>
  <c r="G106"/>
  <c r="G105"/>
  <c r="Q105"/>
  <c r="Y102"/>
  <c r="Y104"/>
  <c r="Y103"/>
  <c r="S104"/>
  <c r="S105"/>
  <c r="U104"/>
  <c r="O105"/>
  <c r="M104"/>
  <c r="K104"/>
  <c r="K105"/>
  <c r="I104"/>
  <c r="D105"/>
  <c r="AC103"/>
  <c r="O104"/>
  <c r="O103"/>
  <c r="O102"/>
  <c r="O101"/>
  <c r="D104"/>
  <c r="Z172"/>
  <c r="AA172" s="1"/>
  <c r="G104"/>
  <c r="Q104"/>
  <c r="AA87"/>
  <c r="AA86"/>
  <c r="AA83"/>
  <c r="AA81"/>
  <c r="AA78"/>
  <c r="U103"/>
  <c r="M103"/>
  <c r="S103"/>
  <c r="I103"/>
  <c r="D103"/>
  <c r="AC102"/>
  <c r="Q103"/>
  <c r="U102"/>
  <c r="M102"/>
  <c r="K103"/>
  <c r="K102"/>
  <c r="I102"/>
  <c r="G103"/>
  <c r="S102"/>
  <c r="D102"/>
  <c r="G102"/>
  <c r="AE91"/>
  <c r="AE92"/>
  <c r="AE93"/>
  <c r="AE94"/>
  <c r="AE95"/>
  <c r="AE96"/>
  <c r="AE97"/>
  <c r="AE98"/>
  <c r="AE99"/>
  <c r="AE100"/>
  <c r="AE101"/>
  <c r="AE90"/>
  <c r="Y99"/>
  <c r="Y100"/>
  <c r="Y101"/>
  <c r="Q102"/>
  <c r="Z174"/>
  <c r="X174"/>
  <c r="R174"/>
  <c r="AD174"/>
  <c r="N174"/>
  <c r="L174"/>
  <c r="J174"/>
  <c r="H173"/>
  <c r="U101"/>
  <c r="U100"/>
  <c r="U99"/>
  <c r="U98"/>
  <c r="AC101"/>
  <c r="Q101"/>
  <c r="T173"/>
  <c r="L173"/>
  <c r="M101"/>
  <c r="J173"/>
  <c r="D173"/>
  <c r="AD173"/>
  <c r="N173"/>
  <c r="D101"/>
  <c r="S101"/>
  <c r="K101"/>
  <c r="I101"/>
  <c r="G101"/>
  <c r="AC99"/>
  <c r="AC100"/>
  <c r="I100"/>
  <c r="U96"/>
  <c r="U94"/>
  <c r="U92"/>
  <c r="U91"/>
  <c r="U93"/>
  <c r="U95"/>
  <c r="U97"/>
  <c r="S100"/>
  <c r="M100"/>
  <c r="K100"/>
  <c r="D100"/>
  <c r="G100"/>
  <c r="Q100"/>
  <c r="I99"/>
  <c r="O100"/>
  <c r="M99"/>
  <c r="S99"/>
  <c r="Q99"/>
  <c r="O99"/>
  <c r="K99"/>
  <c r="G99"/>
  <c r="D99"/>
  <c r="AC98"/>
  <c r="Y98"/>
  <c r="S98"/>
  <c r="I98"/>
  <c r="Y96"/>
  <c r="Y97"/>
  <c r="M97"/>
  <c r="M98"/>
  <c r="G98"/>
  <c r="O98"/>
  <c r="K98"/>
  <c r="D98"/>
  <c r="Q98"/>
  <c r="Q97"/>
  <c r="S97"/>
  <c r="AC97"/>
  <c r="D97"/>
  <c r="I97"/>
  <c r="O97"/>
  <c r="K97"/>
  <c r="G97"/>
  <c r="Q96"/>
  <c r="AC96"/>
  <c r="AC95"/>
  <c r="Y94"/>
  <c r="Y95"/>
  <c r="S96"/>
  <c r="O96"/>
  <c r="M96"/>
  <c r="K96"/>
  <c r="I96"/>
  <c r="G96"/>
  <c r="D96"/>
  <c r="S95"/>
  <c r="O95"/>
  <c r="M95"/>
  <c r="I95"/>
  <c r="AC94"/>
  <c r="D95"/>
  <c r="K95"/>
  <c r="Q95"/>
  <c r="Q94"/>
  <c r="S94"/>
  <c r="M94"/>
  <c r="I94"/>
  <c r="G95"/>
  <c r="D94"/>
  <c r="D18"/>
  <c r="G18"/>
  <c r="I18"/>
  <c r="K18"/>
  <c r="M18"/>
  <c r="O18"/>
  <c r="AE18"/>
  <c r="U18"/>
  <c r="S18"/>
  <c r="Y18"/>
  <c r="D19"/>
  <c r="G19"/>
  <c r="I19"/>
  <c r="K19"/>
  <c r="M19"/>
  <c r="O19"/>
  <c r="AE19"/>
  <c r="U19"/>
  <c r="S19"/>
  <c r="Y19"/>
  <c r="D20"/>
  <c r="G20"/>
  <c r="I20"/>
  <c r="K20"/>
  <c r="M20"/>
  <c r="O20"/>
  <c r="AE20"/>
  <c r="U20"/>
  <c r="S20"/>
  <c r="Y20"/>
  <c r="D21"/>
  <c r="G21"/>
  <c r="I21"/>
  <c r="K21"/>
  <c r="M21"/>
  <c r="O21"/>
  <c r="AE21"/>
  <c r="U21"/>
  <c r="S21"/>
  <c r="Y21"/>
  <c r="D22"/>
  <c r="G22"/>
  <c r="I22"/>
  <c r="K22"/>
  <c r="M22"/>
  <c r="O22"/>
  <c r="AE22"/>
  <c r="U22"/>
  <c r="S22"/>
  <c r="Y22"/>
  <c r="D23"/>
  <c r="G23"/>
  <c r="I23"/>
  <c r="K23"/>
  <c r="M23"/>
  <c r="O23"/>
  <c r="AE23"/>
  <c r="U23"/>
  <c r="S23"/>
  <c r="Y23"/>
  <c r="D24"/>
  <c r="G24"/>
  <c r="I24"/>
  <c r="K24"/>
  <c r="M24"/>
  <c r="O24"/>
  <c r="AE24"/>
  <c r="U24"/>
  <c r="S24"/>
  <c r="Y24"/>
  <c r="D25"/>
  <c r="G25"/>
  <c r="I25"/>
  <c r="K25"/>
  <c r="M25"/>
  <c r="O25"/>
  <c r="AE25"/>
  <c r="U25"/>
  <c r="S25"/>
  <c r="Y25"/>
  <c r="D26"/>
  <c r="G26"/>
  <c r="I26"/>
  <c r="K26"/>
  <c r="M26"/>
  <c r="O26"/>
  <c r="AE26"/>
  <c r="U26"/>
  <c r="S26"/>
  <c r="Y26"/>
  <c r="D27"/>
  <c r="G27"/>
  <c r="I27"/>
  <c r="K27"/>
  <c r="M27"/>
  <c r="O27"/>
  <c r="AE27"/>
  <c r="U27"/>
  <c r="S27"/>
  <c r="Y27"/>
  <c r="D28"/>
  <c r="G28"/>
  <c r="I28"/>
  <c r="K28"/>
  <c r="M28"/>
  <c r="O28"/>
  <c r="AE28"/>
  <c r="U28"/>
  <c r="S28"/>
  <c r="Y28"/>
  <c r="D29"/>
  <c r="G29"/>
  <c r="I29"/>
  <c r="K29"/>
  <c r="M29"/>
  <c r="O29"/>
  <c r="AE29"/>
  <c r="U29"/>
  <c r="S29"/>
  <c r="Y29"/>
  <c r="D30"/>
  <c r="G30"/>
  <c r="I30"/>
  <c r="K30"/>
  <c r="M30"/>
  <c r="O30"/>
  <c r="AE30"/>
  <c r="U30"/>
  <c r="S30"/>
  <c r="Y30"/>
  <c r="Q30"/>
  <c r="D31"/>
  <c r="G31"/>
  <c r="I31"/>
  <c r="K31"/>
  <c r="M31"/>
  <c r="O31"/>
  <c r="AE31"/>
  <c r="U31"/>
  <c r="S31"/>
  <c r="Y31"/>
  <c r="Q31"/>
  <c r="D32"/>
  <c r="G32"/>
  <c r="I32"/>
  <c r="K32"/>
  <c r="M32"/>
  <c r="O32"/>
  <c r="AE32"/>
  <c r="U32"/>
  <c r="S32"/>
  <c r="Y32"/>
  <c r="Q32"/>
  <c r="D33"/>
  <c r="G33"/>
  <c r="I33"/>
  <c r="K33"/>
  <c r="M33"/>
  <c r="O33"/>
  <c r="AE33"/>
  <c r="U33"/>
  <c r="S33"/>
  <c r="Y33"/>
  <c r="Q33"/>
  <c r="D34"/>
  <c r="G34"/>
  <c r="I34"/>
  <c r="K34"/>
  <c r="M34"/>
  <c r="O34"/>
  <c r="AE34"/>
  <c r="U34"/>
  <c r="S34"/>
  <c r="Y34"/>
  <c r="Q34"/>
  <c r="D35"/>
  <c r="G35"/>
  <c r="I35"/>
  <c r="K35"/>
  <c r="M35"/>
  <c r="O35"/>
  <c r="AE35"/>
  <c r="U35"/>
  <c r="S35"/>
  <c r="Y35"/>
  <c r="Q35"/>
  <c r="D36"/>
  <c r="G36"/>
  <c r="I36"/>
  <c r="K36"/>
  <c r="M36"/>
  <c r="O36"/>
  <c r="AE36"/>
  <c r="U36"/>
  <c r="S36"/>
  <c r="Y36"/>
  <c r="Q36"/>
  <c r="D37"/>
  <c r="G37"/>
  <c r="I37"/>
  <c r="K37"/>
  <c r="M37"/>
  <c r="O37"/>
  <c r="AE37"/>
  <c r="U37"/>
  <c r="S37"/>
  <c r="Y37"/>
  <c r="Q37"/>
  <c r="D38"/>
  <c r="G38"/>
  <c r="I38"/>
  <c r="K38"/>
  <c r="M38"/>
  <c r="O38"/>
  <c r="AE38"/>
  <c r="U38"/>
  <c r="S38"/>
  <c r="Y38"/>
  <c r="Q38"/>
  <c r="D39"/>
  <c r="G39"/>
  <c r="I39"/>
  <c r="K39"/>
  <c r="M39"/>
  <c r="O39"/>
  <c r="AE39"/>
  <c r="U39"/>
  <c r="S39"/>
  <c r="Y39"/>
  <c r="Q39"/>
  <c r="D40"/>
  <c r="G40"/>
  <c r="I40"/>
  <c r="K40"/>
  <c r="M40"/>
  <c r="O40"/>
  <c r="AE40"/>
  <c r="U40"/>
  <c r="S40"/>
  <c r="Y40"/>
  <c r="D41"/>
  <c r="G41"/>
  <c r="I41"/>
  <c r="K41"/>
  <c r="M41"/>
  <c r="O41"/>
  <c r="AE41"/>
  <c r="U41"/>
  <c r="S41"/>
  <c r="Y41"/>
  <c r="Q41"/>
  <c r="D42"/>
  <c r="G42"/>
  <c r="I42"/>
  <c r="K42"/>
  <c r="M42"/>
  <c r="O42"/>
  <c r="AE42"/>
  <c r="U42"/>
  <c r="S42"/>
  <c r="Y42"/>
  <c r="Q42"/>
  <c r="D43"/>
  <c r="G43"/>
  <c r="I43"/>
  <c r="K43"/>
  <c r="M43"/>
  <c r="O43"/>
  <c r="AE43"/>
  <c r="U43"/>
  <c r="S43"/>
  <c r="Y43"/>
  <c r="Q43"/>
  <c r="G44"/>
  <c r="I44"/>
  <c r="K44"/>
  <c r="M44"/>
  <c r="O44"/>
  <c r="AE44"/>
  <c r="U44"/>
  <c r="S44"/>
  <c r="Y44"/>
  <c r="Q44"/>
  <c r="G45"/>
  <c r="I45"/>
  <c r="K45"/>
  <c r="M45"/>
  <c r="O45"/>
  <c r="AE45"/>
  <c r="U45"/>
  <c r="S45"/>
  <c r="Y45"/>
  <c r="Q45"/>
  <c r="G46"/>
  <c r="I46"/>
  <c r="K46"/>
  <c r="M46"/>
  <c r="O46"/>
  <c r="AE46"/>
  <c r="U46"/>
  <c r="S46"/>
  <c r="Y46"/>
  <c r="Q46"/>
  <c r="G47"/>
  <c r="I47"/>
  <c r="K47"/>
  <c r="M47"/>
  <c r="O47"/>
  <c r="AE47"/>
  <c r="U47"/>
  <c r="S47"/>
  <c r="Y47"/>
  <c r="Q47"/>
  <c r="G48"/>
  <c r="I48"/>
  <c r="K48"/>
  <c r="M48"/>
  <c r="O48"/>
  <c r="AE48"/>
  <c r="U48"/>
  <c r="S48"/>
  <c r="Y48"/>
  <c r="Q48"/>
  <c r="G49"/>
  <c r="I49"/>
  <c r="K49"/>
  <c r="M49"/>
  <c r="O49"/>
  <c r="AE49"/>
  <c r="U49"/>
  <c r="S49"/>
  <c r="Y49"/>
  <c r="Q49"/>
  <c r="G50"/>
  <c r="I50"/>
  <c r="K50"/>
  <c r="M50"/>
  <c r="O50"/>
  <c r="AE50"/>
  <c r="U50"/>
  <c r="S50"/>
  <c r="Y50"/>
  <c r="Q50"/>
  <c r="G51"/>
  <c r="I51"/>
  <c r="K51"/>
  <c r="M51"/>
  <c r="O51"/>
  <c r="AE51"/>
  <c r="U51"/>
  <c r="S51"/>
  <c r="Y51"/>
  <c r="Q51"/>
  <c r="G52"/>
  <c r="I52"/>
  <c r="K52"/>
  <c r="M52"/>
  <c r="O52"/>
  <c r="AE52"/>
  <c r="U52"/>
  <c r="S52"/>
  <c r="Y52"/>
  <c r="Q52"/>
  <c r="G53"/>
  <c r="I53"/>
  <c r="K53"/>
  <c r="M53"/>
  <c r="O53"/>
  <c r="AE53"/>
  <c r="U53"/>
  <c r="S53"/>
  <c r="Y53"/>
  <c r="Q53"/>
  <c r="G54"/>
  <c r="K54"/>
  <c r="M54"/>
  <c r="O54"/>
  <c r="U54"/>
  <c r="S54"/>
  <c r="Y54"/>
  <c r="AA54"/>
  <c r="Q54"/>
  <c r="G55"/>
  <c r="K55"/>
  <c r="O55"/>
  <c r="U55"/>
  <c r="S55"/>
  <c r="Y55"/>
  <c r="AA55"/>
  <c r="Q55"/>
  <c r="G56"/>
  <c r="K56"/>
  <c r="O56"/>
  <c r="U56"/>
  <c r="S56"/>
  <c r="Y56"/>
  <c r="AA56"/>
  <c r="Q56"/>
  <c r="G57"/>
  <c r="I57"/>
  <c r="O57"/>
  <c r="U57"/>
  <c r="Y57"/>
  <c r="AA57"/>
  <c r="Q57"/>
  <c r="G58"/>
  <c r="I58"/>
  <c r="O58"/>
  <c r="U58"/>
  <c r="Y58"/>
  <c r="AA58"/>
  <c r="Q58"/>
  <c r="G59"/>
  <c r="I59"/>
  <c r="K59"/>
  <c r="O59"/>
  <c r="AE59"/>
  <c r="U59"/>
  <c r="S59"/>
  <c r="Y59"/>
  <c r="AA59"/>
  <c r="Q59"/>
  <c r="G60"/>
  <c r="I60"/>
  <c r="K60"/>
  <c r="O60"/>
  <c r="AE60"/>
  <c r="U60"/>
  <c r="S60"/>
  <c r="Y60"/>
  <c r="AA60"/>
  <c r="Q60"/>
  <c r="G61"/>
  <c r="I61"/>
  <c r="K61"/>
  <c r="O61"/>
  <c r="AE61"/>
  <c r="U61"/>
  <c r="S61"/>
  <c r="Y61"/>
  <c r="AA61"/>
  <c r="Q61"/>
  <c r="G62"/>
  <c r="I62"/>
  <c r="K62"/>
  <c r="O62"/>
  <c r="AE62"/>
  <c r="U62"/>
  <c r="S62"/>
  <c r="Y62"/>
  <c r="AA62"/>
  <c r="Q62"/>
  <c r="G63"/>
  <c r="I63"/>
  <c r="K63"/>
  <c r="O63"/>
  <c r="AE63"/>
  <c r="U63"/>
  <c r="S63"/>
  <c r="Y63"/>
  <c r="AA63"/>
  <c r="Q63"/>
  <c r="G64"/>
  <c r="I64"/>
  <c r="K64"/>
  <c r="O64"/>
  <c r="AE64"/>
  <c r="U64"/>
  <c r="S64"/>
  <c r="Y64"/>
  <c r="AA64"/>
  <c r="Q64"/>
  <c r="G65"/>
  <c r="I65"/>
  <c r="K65"/>
  <c r="O65"/>
  <c r="AE65"/>
  <c r="U65"/>
  <c r="S65"/>
  <c r="Y65"/>
  <c r="AA65"/>
  <c r="Q65"/>
  <c r="G66"/>
  <c r="I66"/>
  <c r="K66"/>
  <c r="O66"/>
  <c r="AE66"/>
  <c r="U66"/>
  <c r="S66"/>
  <c r="Y66"/>
  <c r="AA66"/>
  <c r="Q66"/>
  <c r="G67"/>
  <c r="I67"/>
  <c r="K67"/>
  <c r="O67"/>
  <c r="AE67"/>
  <c r="U67"/>
  <c r="S67"/>
  <c r="Y67"/>
  <c r="AA67"/>
  <c r="Q67"/>
  <c r="G68"/>
  <c r="I68"/>
  <c r="K68"/>
  <c r="O68"/>
  <c r="AE68"/>
  <c r="U68"/>
  <c r="S68"/>
  <c r="Y68"/>
  <c r="AA68"/>
  <c r="Q68"/>
  <c r="G69"/>
  <c r="I69"/>
  <c r="K69"/>
  <c r="O69"/>
  <c r="AE69"/>
  <c r="U69"/>
  <c r="S69"/>
  <c r="Y69"/>
  <c r="AA69"/>
  <c r="Q69"/>
  <c r="G70"/>
  <c r="I70"/>
  <c r="K70"/>
  <c r="O70"/>
  <c r="AE70"/>
  <c r="U70"/>
  <c r="S70"/>
  <c r="Y70"/>
  <c r="AA70"/>
  <c r="Q70"/>
  <c r="G71"/>
  <c r="I71"/>
  <c r="K71"/>
  <c r="O71"/>
  <c r="AE71"/>
  <c r="U71"/>
  <c r="S71"/>
  <c r="Y71"/>
  <c r="AA71"/>
  <c r="Q71"/>
  <c r="G72"/>
  <c r="I72"/>
  <c r="K72"/>
  <c r="O72"/>
  <c r="AE72"/>
  <c r="U72"/>
  <c r="S72"/>
  <c r="Y72"/>
  <c r="AA72"/>
  <c r="Q72"/>
  <c r="G73"/>
  <c r="I73"/>
  <c r="K73"/>
  <c r="O73"/>
  <c r="AE73"/>
  <c r="U73"/>
  <c r="S73"/>
  <c r="Y73"/>
  <c r="AA73"/>
  <c r="Q73"/>
  <c r="G74"/>
  <c r="I74"/>
  <c r="K74"/>
  <c r="O74"/>
  <c r="AE74"/>
  <c r="U74"/>
  <c r="S74"/>
  <c r="Y74"/>
  <c r="AA74"/>
  <c r="Q74"/>
  <c r="G75"/>
  <c r="I75"/>
  <c r="K75"/>
  <c r="O75"/>
  <c r="AE75"/>
  <c r="U75"/>
  <c r="S75"/>
  <c r="Y75"/>
  <c r="AA75"/>
  <c r="Q75"/>
  <c r="G76"/>
  <c r="I76"/>
  <c r="K76"/>
  <c r="O76"/>
  <c r="AE76"/>
  <c r="U76"/>
  <c r="S76"/>
  <c r="Y76"/>
  <c r="AA76"/>
  <c r="Q76"/>
  <c r="G77"/>
  <c r="I77"/>
  <c r="K77"/>
  <c r="O77"/>
  <c r="AE77"/>
  <c r="U77"/>
  <c r="S77"/>
  <c r="Y77"/>
  <c r="AA77"/>
  <c r="Q77"/>
  <c r="G78"/>
  <c r="I78"/>
  <c r="K78"/>
  <c r="O78"/>
  <c r="AE78"/>
  <c r="U78"/>
  <c r="S78"/>
  <c r="Y78"/>
  <c r="Q78"/>
  <c r="G79"/>
  <c r="I79"/>
  <c r="K79"/>
  <c r="O79"/>
  <c r="U79"/>
  <c r="S79"/>
  <c r="Y79"/>
  <c r="Q79"/>
  <c r="G80"/>
  <c r="I80"/>
  <c r="K80"/>
  <c r="M80"/>
  <c r="O80"/>
  <c r="U80"/>
  <c r="S80"/>
  <c r="Y80"/>
  <c r="Q80"/>
  <c r="G81"/>
  <c r="I81"/>
  <c r="K81"/>
  <c r="M81"/>
  <c r="O81"/>
  <c r="U81"/>
  <c r="S81"/>
  <c r="Y81"/>
  <c r="Q81"/>
  <c r="G82"/>
  <c r="I82"/>
  <c r="K82"/>
  <c r="M82"/>
  <c r="O82"/>
  <c r="U82"/>
  <c r="S82"/>
  <c r="Y82"/>
  <c r="Q82"/>
  <c r="G83"/>
  <c r="I83"/>
  <c r="K83"/>
  <c r="M83"/>
  <c r="O83"/>
  <c r="U83"/>
  <c r="S83"/>
  <c r="Y83"/>
  <c r="Q83"/>
  <c r="G84"/>
  <c r="I84"/>
  <c r="K84"/>
  <c r="M84"/>
  <c r="O84"/>
  <c r="U84"/>
  <c r="S84"/>
  <c r="Y84"/>
  <c r="Q84"/>
  <c r="G85"/>
  <c r="I85"/>
  <c r="K85"/>
  <c r="M85"/>
  <c r="O85"/>
  <c r="U85"/>
  <c r="S85"/>
  <c r="Y85"/>
  <c r="Q85"/>
  <c r="G86"/>
  <c r="I86"/>
  <c r="K86"/>
  <c r="M86"/>
  <c r="O86"/>
  <c r="U86"/>
  <c r="S86"/>
  <c r="Y86"/>
  <c r="Q86"/>
  <c r="G87"/>
  <c r="I87"/>
  <c r="K87"/>
  <c r="M87"/>
  <c r="O87"/>
  <c r="S87"/>
  <c r="Y87"/>
  <c r="Q87"/>
  <c r="O88"/>
  <c r="U88"/>
  <c r="Y88"/>
  <c r="O89"/>
  <c r="AE89"/>
  <c r="U89"/>
  <c r="Y89"/>
  <c r="G90"/>
  <c r="I90"/>
  <c r="O90"/>
  <c r="U90"/>
  <c r="Y90"/>
  <c r="D91"/>
  <c r="G91"/>
  <c r="K91"/>
  <c r="M91"/>
  <c r="O91"/>
  <c r="S91"/>
  <c r="Y91"/>
  <c r="AC91"/>
  <c r="Q91"/>
  <c r="D92"/>
  <c r="G92"/>
  <c r="K92"/>
  <c r="M92"/>
  <c r="O92"/>
  <c r="S92"/>
  <c r="Y92"/>
  <c r="AC92"/>
  <c r="Q92"/>
  <c r="D93"/>
  <c r="G93"/>
  <c r="I93"/>
  <c r="K93"/>
  <c r="M93"/>
  <c r="O93"/>
  <c r="S93"/>
  <c r="Y93"/>
  <c r="AC93"/>
  <c r="Q93"/>
  <c r="O94"/>
  <c r="D163"/>
  <c r="D164"/>
  <c r="D165"/>
  <c r="D166"/>
  <c r="F166"/>
  <c r="H166"/>
  <c r="I167" s="1"/>
  <c r="J166"/>
  <c r="K166" s="1"/>
  <c r="L166"/>
  <c r="N166"/>
  <c r="O167" s="1"/>
  <c r="AD166"/>
  <c r="T166"/>
  <c r="R166"/>
  <c r="X166"/>
  <c r="C167"/>
  <c r="D167" s="1"/>
  <c r="F167"/>
  <c r="J167"/>
  <c r="L167"/>
  <c r="AD167"/>
  <c r="T167"/>
  <c r="R167"/>
  <c r="X167"/>
  <c r="P167"/>
  <c r="Q167" s="1"/>
  <c r="C168"/>
  <c r="F168"/>
  <c r="J168"/>
  <c r="L168"/>
  <c r="AD168"/>
  <c r="T168"/>
  <c r="R168"/>
  <c r="X168"/>
  <c r="C169"/>
  <c r="F169"/>
  <c r="H169"/>
  <c r="I169" s="1"/>
  <c r="J169"/>
  <c r="L169"/>
  <c r="N169"/>
  <c r="AD169"/>
  <c r="T169"/>
  <c r="R169"/>
  <c r="S170" s="1"/>
  <c r="X169"/>
  <c r="C170"/>
  <c r="F170"/>
  <c r="H170"/>
  <c r="J170"/>
  <c r="L170"/>
  <c r="N170"/>
  <c r="AD170"/>
  <c r="T170"/>
  <c r="R170"/>
  <c r="X170"/>
  <c r="Y170" s="1"/>
  <c r="P170"/>
  <c r="Q170" s="1"/>
  <c r="C171"/>
  <c r="H171"/>
  <c r="J171"/>
  <c r="K171" s="1"/>
  <c r="L171"/>
  <c r="N171"/>
  <c r="AD171"/>
  <c r="T171"/>
  <c r="U171" s="1"/>
  <c r="R171"/>
  <c r="X171"/>
  <c r="AC171"/>
  <c r="P171"/>
  <c r="C172"/>
  <c r="D172" s="1"/>
  <c r="H172"/>
  <c r="I172" s="1"/>
  <c r="J172"/>
  <c r="L172"/>
  <c r="N172"/>
  <c r="AD172"/>
  <c r="AE172" s="1"/>
  <c r="T172"/>
  <c r="R172"/>
  <c r="X172"/>
  <c r="Y172" s="1"/>
  <c r="P172"/>
  <c r="Q173" s="1"/>
  <c r="R173"/>
  <c r="S174" s="1"/>
  <c r="X173"/>
  <c r="Y174" s="1"/>
  <c r="Z173"/>
  <c r="K170" i="7"/>
  <c r="AJ175" i="1"/>
  <c r="AK175" s="1"/>
  <c r="C177"/>
  <c r="M176" i="8"/>
  <c r="AQ87" i="1"/>
  <c r="U168"/>
  <c r="O169"/>
  <c r="K168" i="8"/>
  <c r="G174"/>
  <c r="K174"/>
  <c r="M171"/>
  <c r="O172" i="6"/>
  <c r="K168"/>
  <c r="AA177"/>
  <c r="W169"/>
  <c r="Y172"/>
  <c r="W170"/>
  <c r="G174"/>
  <c r="K173"/>
  <c r="O171"/>
  <c r="AE170"/>
  <c r="U167"/>
  <c r="M173"/>
  <c r="D172"/>
  <c r="AE171"/>
  <c r="W174"/>
  <c r="K171"/>
  <c r="G168"/>
  <c r="W167"/>
  <c r="D171"/>
  <c r="Y169"/>
  <c r="AC173"/>
  <c r="AC174"/>
  <c r="U172"/>
  <c r="AC168"/>
  <c r="K170"/>
  <c r="D173"/>
  <c r="AC171"/>
  <c r="U170"/>
  <c r="Y171"/>
  <c r="Y167"/>
  <c r="W173"/>
  <c r="U171"/>
  <c r="D168"/>
  <c r="M166" i="1"/>
  <c r="I174"/>
  <c r="M172" i="7"/>
  <c r="G172"/>
  <c r="AC175"/>
  <c r="G173"/>
  <c r="AC170"/>
  <c r="U169"/>
  <c r="I166" i="1"/>
  <c r="O176"/>
  <c r="AE170" l="1"/>
  <c r="AE167"/>
  <c r="G168"/>
  <c r="K168"/>
  <c r="M174"/>
  <c r="I173"/>
  <c r="AQ174"/>
  <c r="AI171"/>
  <c r="O172"/>
  <c r="M169"/>
  <c r="U167"/>
  <c r="AS168"/>
  <c r="AO172"/>
  <c r="M173"/>
  <c r="AK177"/>
  <c r="AA114"/>
  <c r="U170"/>
  <c r="Y169"/>
  <c r="G170"/>
  <c r="O174"/>
  <c r="AM172"/>
  <c r="W169"/>
  <c r="AQ99"/>
  <c r="AG168"/>
  <c r="AG172"/>
  <c r="AS172"/>
  <c r="AI173"/>
  <c r="Q177"/>
  <c r="AA173"/>
  <c r="S168"/>
  <c r="S177"/>
  <c r="AQ81"/>
  <c r="AN175"/>
  <c r="AO175" s="1"/>
  <c r="M168"/>
  <c r="U174"/>
  <c r="BA172"/>
  <c r="AQ93"/>
  <c r="AS169"/>
  <c r="AE169" i="6"/>
  <c r="AE172"/>
  <c r="G173"/>
  <c r="U168"/>
  <c r="M174"/>
  <c r="D169"/>
  <c r="AE132"/>
  <c r="AC176" i="7"/>
  <c r="AC167"/>
  <c r="I167"/>
  <c r="D171"/>
  <c r="I170"/>
  <c r="M173"/>
  <c r="U173"/>
  <c r="U168"/>
  <c r="Y176"/>
  <c r="K173"/>
  <c r="D169"/>
  <c r="G170"/>
  <c r="I172"/>
  <c r="U172"/>
  <c r="U167"/>
  <c r="D168"/>
  <c r="K167"/>
  <c r="D170"/>
  <c r="U170"/>
  <c r="AC168"/>
  <c r="AC173"/>
  <c r="I174"/>
  <c r="K171" i="9"/>
  <c r="O176"/>
  <c r="O177"/>
  <c r="M168" i="8"/>
  <c r="D172"/>
  <c r="D168"/>
  <c r="G167"/>
  <c r="G172"/>
  <c r="K172"/>
  <c r="G171"/>
  <c r="M173"/>
  <c r="G169"/>
  <c r="D168" i="9"/>
  <c r="I171"/>
  <c r="K167"/>
  <c r="K169"/>
  <c r="K172"/>
  <c r="I177"/>
  <c r="K170"/>
  <c r="G177"/>
  <c r="G170"/>
  <c r="D169"/>
  <c r="O170"/>
  <c r="O171"/>
  <c r="D171"/>
  <c r="G167"/>
  <c r="M177"/>
  <c r="D177"/>
  <c r="K168"/>
  <c r="I167"/>
  <c r="O167"/>
  <c r="G171"/>
  <c r="D170"/>
  <c r="K173"/>
  <c r="U172" i="1"/>
  <c r="K167"/>
  <c r="AE173"/>
  <c r="G174"/>
  <c r="M176"/>
  <c r="M172"/>
  <c r="O171"/>
  <c r="D170"/>
  <c r="D169"/>
  <c r="M167"/>
  <c r="BA173"/>
  <c r="W173"/>
  <c r="AG167"/>
  <c r="AS174"/>
  <c r="AS170"/>
  <c r="BC170"/>
  <c r="AI174"/>
  <c r="G172"/>
  <c r="W177"/>
  <c r="G177"/>
  <c r="O177"/>
  <c r="AI177"/>
  <c r="Q168"/>
  <c r="AS173"/>
  <c r="D177"/>
  <c r="Y171"/>
  <c r="AE171"/>
  <c r="U169"/>
  <c r="AC174"/>
  <c r="K173"/>
  <c r="W172"/>
  <c r="AQ69"/>
  <c r="AO169"/>
  <c r="AO173"/>
  <c r="AY176"/>
  <c r="D176" i="6"/>
  <c r="AK173" i="1"/>
  <c r="AK172"/>
  <c r="AK170"/>
  <c r="AQ75"/>
  <c r="O166"/>
  <c r="K168" i="7"/>
  <c r="G171"/>
  <c r="AO170" i="1"/>
  <c r="O173" i="6"/>
  <c r="AC170"/>
  <c r="G173" i="8"/>
  <c r="D169"/>
  <c r="M169"/>
  <c r="M172"/>
  <c r="Z175" i="1"/>
  <c r="AA175" s="1"/>
  <c r="S173"/>
  <c r="K172"/>
  <c r="Q171"/>
  <c r="S172"/>
  <c r="D171"/>
  <c r="O170"/>
  <c r="S169"/>
  <c r="Y167"/>
  <c r="K174"/>
  <c r="AA174"/>
  <c r="AM173"/>
  <c r="AQ96"/>
  <c r="AQ39"/>
  <c r="AG171"/>
  <c r="AG173"/>
  <c r="K171" i="8"/>
  <c r="AG177" i="1"/>
  <c r="AS177"/>
  <c r="BA171"/>
  <c r="I171" i="7"/>
  <c r="AC169"/>
  <c r="AC173" i="1"/>
  <c r="I171"/>
  <c r="AE169"/>
  <c r="G167"/>
  <c r="AQ45"/>
  <c r="AQ42"/>
  <c r="AQ18"/>
  <c r="D176" i="7"/>
  <c r="AO171" i="1"/>
  <c r="AA177"/>
  <c r="M171"/>
  <c r="AC172" i="7"/>
  <c r="AQ90" i="1"/>
  <c r="K170"/>
  <c r="S167"/>
  <c r="BA170"/>
  <c r="AG169"/>
  <c r="AO174"/>
  <c r="AA176"/>
  <c r="I177"/>
  <c r="O173"/>
  <c r="AQ84"/>
  <c r="AK169"/>
  <c r="AM177"/>
  <c r="M170"/>
  <c r="K177"/>
  <c r="Q172"/>
  <c r="Y168"/>
  <c r="W171"/>
  <c r="AQ63"/>
  <c r="AQ27"/>
  <c r="AQ30"/>
  <c r="AI172"/>
  <c r="AQ102"/>
  <c r="G171"/>
  <c r="AC172"/>
  <c r="AG170"/>
  <c r="AQ57"/>
  <c r="S171"/>
  <c r="K169"/>
  <c r="G169"/>
  <c r="S166"/>
  <c r="G166"/>
  <c r="AK171"/>
  <c r="AS175"/>
  <c r="AY175"/>
  <c r="AO118"/>
  <c r="AQ48"/>
  <c r="Y173"/>
  <c r="U173"/>
  <c r="I170"/>
  <c r="AE168"/>
  <c r="D168"/>
  <c r="AE174"/>
  <c r="D117" i="6"/>
  <c r="C175"/>
  <c r="D175" s="1"/>
  <c r="D117" i="7"/>
  <c r="C175"/>
  <c r="D175" s="1"/>
  <c r="D129"/>
</calcChain>
</file>

<file path=xl/comments1.xml><?xml version="1.0" encoding="utf-8"?>
<comments xmlns="http://schemas.openxmlformats.org/spreadsheetml/2006/main">
  <authors>
    <author>knto</author>
    <author>owner</author>
  </authors>
  <commentList>
    <comment ref="AB3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월부터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오류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확인중</t>
        </r>
      </text>
    </comment>
    <comment ref="P166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6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</text>
    </comment>
    <comment ref="P168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69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73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174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</commentList>
</comments>
</file>

<file path=xl/sharedStrings.xml><?xml version="1.0" encoding="utf-8"?>
<sst xmlns="http://schemas.openxmlformats.org/spreadsheetml/2006/main" count="1689" uniqueCount="231">
  <si>
    <t>한국인 출국자수</t>
  </si>
  <si>
    <t>중국 국가관광국</t>
  </si>
  <si>
    <t>대만 교통부 관광국</t>
  </si>
  <si>
    <t>홍콩 정부관광국</t>
  </si>
  <si>
    <t>태국 정부관광국</t>
  </si>
  <si>
    <t>캐나다 관광위원회</t>
  </si>
  <si>
    <t>뉴질랜드 관광국</t>
  </si>
  <si>
    <t>독일연방통계국</t>
  </si>
  <si>
    <t>출국자수</t>
  </si>
  <si>
    <t>국적기준</t>
  </si>
  <si>
    <t>입국자 수</t>
  </si>
  <si>
    <t>거주지 기준</t>
  </si>
  <si>
    <t>방문자 수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</si>
  <si>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</si>
  <si>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</si>
  <si>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</si>
  <si>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</si>
  <si>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</si>
  <si>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</si>
  <si>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</si>
  <si>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</si>
  <si>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</si>
  <si>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</si>
  <si>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</si>
  <si>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</si>
  <si>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</si>
  <si>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</si>
  <si>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</si>
  <si>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</si>
  <si>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</si>
  <si>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</si>
  <si>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2000년</t>
    <phoneticPr fontId="2" type="noConversion"/>
  </si>
  <si>
    <t>2002년</t>
  </si>
  <si>
    <t>2003년</t>
  </si>
  <si>
    <t>2004년</t>
    <phoneticPr fontId="2" type="noConversion"/>
  </si>
  <si>
    <t>1월</t>
    <phoneticPr fontId="2" type="noConversion"/>
  </si>
  <si>
    <t>2월</t>
    <phoneticPr fontId="2" type="noConversion"/>
  </si>
  <si>
    <t>2005년</t>
    <phoneticPr fontId="2" type="noConversion"/>
  </si>
  <si>
    <t>2006년</t>
    <phoneticPr fontId="2" type="noConversion"/>
  </si>
  <si>
    <t>2001년</t>
    <phoneticPr fontId="2" type="noConversion"/>
  </si>
  <si>
    <t>거주지 기준</t>
    <phoneticPr fontId="2" type="noConversion"/>
  </si>
  <si>
    <t>거주국기준</t>
    <phoneticPr fontId="2" type="noConversion"/>
  </si>
  <si>
    <t>2007년</t>
  </si>
  <si>
    <t>2007년</t>
    <phoneticPr fontId="2" type="noConversion"/>
  </si>
  <si>
    <t>2월</t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</si>
  <si>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</si>
  <si>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</si>
  <si>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</si>
  <si>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</si>
  <si>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명수</t>
    <phoneticPr fontId="2" type="noConversion"/>
  </si>
  <si>
    <t>입국자 수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</si>
  <si>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</si>
  <si>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</si>
  <si>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</si>
  <si>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</si>
  <si>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</si>
  <si>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</si>
  <si>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</si>
  <si>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</si>
  <si>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</si>
  <si>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</si>
  <si>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전년대비</t>
    <phoneticPr fontId="2" type="noConversion"/>
  </si>
  <si>
    <t>2011년</t>
    <phoneticPr fontId="2" type="noConversion"/>
  </si>
  <si>
    <t>2012년</t>
    <phoneticPr fontId="2" type="noConversion"/>
  </si>
  <si>
    <t>국적 기준</t>
    <phoneticPr fontId="2" type="noConversion"/>
  </si>
  <si>
    <t>2013년</t>
    <phoneticPr fontId="2" type="noConversion"/>
  </si>
  <si>
    <t>방문자 수</t>
    <phoneticPr fontId="2" type="noConversion"/>
  </si>
  <si>
    <t>관광국</t>
    <phoneticPr fontId="2" type="noConversion"/>
  </si>
  <si>
    <t>영국 관광청</t>
    <phoneticPr fontId="2" type="noConversion"/>
  </si>
  <si>
    <t>마케도니아 통계청</t>
    <phoneticPr fontId="2" type="noConversion"/>
  </si>
  <si>
    <t>그루지아 관광국</t>
    <phoneticPr fontId="2" type="noConversion"/>
  </si>
  <si>
    <t>보스니아 헤르체고비아
통계청</t>
    <phoneticPr fontId="2" type="noConversion"/>
  </si>
  <si>
    <t>브라질 관광국</t>
    <phoneticPr fontId="2" type="noConversion"/>
  </si>
  <si>
    <t>세르비아 통계청</t>
    <phoneticPr fontId="2" type="noConversion"/>
  </si>
  <si>
    <t>산마리노 통계청</t>
    <phoneticPr fontId="2" type="noConversion"/>
  </si>
  <si>
    <t>스웨덴 통계청</t>
    <phoneticPr fontId="2" type="noConversion"/>
  </si>
  <si>
    <t>슬로바키아 관광국</t>
    <phoneticPr fontId="2" type="noConversion"/>
  </si>
  <si>
    <t>슬로베니아 통계청</t>
    <phoneticPr fontId="2" type="noConversion"/>
  </si>
  <si>
    <t>자메이카 관광국</t>
    <phoneticPr fontId="2" type="noConversion"/>
  </si>
  <si>
    <t>*Accommodation statistics</t>
    <phoneticPr fontId="2" type="noConversion"/>
  </si>
  <si>
    <t>페루 관광국</t>
    <phoneticPr fontId="2" type="noConversion"/>
  </si>
  <si>
    <t>에콰도르 관광국</t>
    <phoneticPr fontId="2" type="noConversion"/>
  </si>
  <si>
    <t>과테말라 관광국</t>
    <phoneticPr fontId="2" type="noConversion"/>
  </si>
  <si>
    <t>도미니카 은행</t>
    <phoneticPr fontId="2" type="noConversion"/>
  </si>
  <si>
    <t>파나마</t>
    <phoneticPr fontId="2" type="noConversion"/>
  </si>
  <si>
    <t>칠레 통계청</t>
    <phoneticPr fontId="2" type="noConversion"/>
  </si>
  <si>
    <t>코스타리카 관광국</t>
    <phoneticPr fontId="2" type="noConversion"/>
  </si>
  <si>
    <t>2014년</t>
    <phoneticPr fontId="2" type="noConversion"/>
  </si>
  <si>
    <t>2014년</t>
    <phoneticPr fontId="2" type="noConversion"/>
  </si>
  <si>
    <t>리히텐슈타인 통계청</t>
    <phoneticPr fontId="2" type="noConversion"/>
  </si>
  <si>
    <t>오스트리아 통계청</t>
    <phoneticPr fontId="2" type="noConversion"/>
  </si>
  <si>
    <t>멕시코 관광국</t>
    <phoneticPr fontId="2" type="noConversion"/>
  </si>
  <si>
    <t>핀란드 관광국</t>
    <phoneticPr fontId="2" type="noConversion"/>
  </si>
  <si>
    <t>-</t>
    <phoneticPr fontId="2" type="noConversion"/>
  </si>
  <si>
    <t>호주 관광국</t>
    <phoneticPr fontId="2" type="noConversion"/>
  </si>
  <si>
    <t>팔라우 관광국</t>
    <phoneticPr fontId="2" type="noConversion"/>
  </si>
  <si>
    <t>피지 통계청</t>
    <phoneticPr fontId="2" type="noConversion"/>
  </si>
  <si>
    <t>북마리아나(사이판) 관광국</t>
    <phoneticPr fontId="2" type="noConversion"/>
  </si>
  <si>
    <t xml:space="preserve">러시아  </t>
    <phoneticPr fontId="2" type="noConversion"/>
  </si>
  <si>
    <t>2015년</t>
    <phoneticPr fontId="2" type="noConversion"/>
  </si>
  <si>
    <t>2015년</t>
    <phoneticPr fontId="2" type="noConversion"/>
  </si>
  <si>
    <t>법무부・KTO</t>
  </si>
  <si>
    <t>일본 JNTO</t>
    <phoneticPr fontId="2" type="noConversion"/>
  </si>
  <si>
    <t>터키 관광국</t>
    <phoneticPr fontId="2" type="noConversion"/>
  </si>
  <si>
    <t>네팔 관광국</t>
    <phoneticPr fontId="2" type="noConversion"/>
  </si>
  <si>
    <t>스리랑카 관광국</t>
    <phoneticPr fontId="2" type="noConversion"/>
  </si>
  <si>
    <t>키프로스 통계청</t>
    <phoneticPr fontId="2" type="noConversion"/>
  </si>
  <si>
    <t>이스라엘 관광국</t>
    <phoneticPr fontId="2" type="noConversion"/>
  </si>
  <si>
    <t>몰디브 관광국</t>
    <phoneticPr fontId="2" type="noConversion"/>
  </si>
  <si>
    <t>필리핀 관광청</t>
    <phoneticPr fontId="2" type="noConversion"/>
  </si>
  <si>
    <t>인도네시아관광국</t>
    <phoneticPr fontId="2" type="noConversion"/>
  </si>
  <si>
    <t>캄보디아 관광청</t>
    <phoneticPr fontId="2" type="noConversion"/>
  </si>
  <si>
    <t>몽골 통계청</t>
    <phoneticPr fontId="2" type="noConversion"/>
  </si>
  <si>
    <t>미얀마 관광국</t>
    <phoneticPr fontId="2" type="noConversion"/>
  </si>
  <si>
    <t>인도 관광청</t>
    <phoneticPr fontId="2" type="noConversion"/>
  </si>
  <si>
    <t>라오스 통계청</t>
    <phoneticPr fontId="2" type="noConversion"/>
  </si>
  <si>
    <t>부탄 관광국</t>
    <phoneticPr fontId="2" type="noConversion"/>
  </si>
  <si>
    <t>요르단 관광국</t>
    <phoneticPr fontId="2" type="noConversion"/>
  </si>
  <si>
    <t>예멘 관광국</t>
    <phoneticPr fontId="2" type="noConversion"/>
  </si>
  <si>
    <t>입국자 수</t>
    <phoneticPr fontId="2" type="noConversion"/>
  </si>
  <si>
    <t>국적기준</t>
    <phoneticPr fontId="2" type="noConversion"/>
  </si>
  <si>
    <t>국적 기준</t>
    <phoneticPr fontId="2" type="noConversion"/>
  </si>
  <si>
    <t>국적 기준</t>
    <phoneticPr fontId="2" type="noConversion"/>
  </si>
  <si>
    <t>방문자 수</t>
    <phoneticPr fontId="2" type="noConversion"/>
  </si>
  <si>
    <t>거주국기준</t>
    <phoneticPr fontId="2" type="noConversion"/>
  </si>
  <si>
    <t>방문자 수</t>
    <phoneticPr fontId="2" type="noConversion"/>
  </si>
  <si>
    <t>거주국기준</t>
    <phoneticPr fontId="2" type="noConversion"/>
  </si>
  <si>
    <t>입국자 수</t>
    <phoneticPr fontId="2" type="noConversion"/>
  </si>
  <si>
    <t>거주지 기준</t>
    <phoneticPr fontId="2" type="noConversion"/>
  </si>
  <si>
    <t>명수</t>
    <phoneticPr fontId="2" type="noConversion"/>
  </si>
  <si>
    <t>전년대비</t>
    <phoneticPr fontId="2" type="noConversion"/>
  </si>
  <si>
    <t>2004년</t>
    <phoneticPr fontId="2" type="noConversion"/>
  </si>
  <si>
    <t>1월</t>
    <phoneticPr fontId="2" type="noConversion"/>
  </si>
  <si>
    <t>2월</t>
    <phoneticPr fontId="2" type="noConversion"/>
  </si>
  <si>
    <t xml:space="preserve"> </t>
    <phoneticPr fontId="2" type="noConversion"/>
  </si>
  <si>
    <t>2005년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</si>
  <si>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</si>
  <si>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</si>
  <si>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</si>
  <si>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</si>
  <si>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</si>
  <si>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</si>
  <si>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</si>
  <si>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</si>
  <si>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</si>
  <si>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</si>
  <si>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</si>
  <si>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</si>
  <si>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</si>
  <si>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</si>
  <si>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</si>
  <si>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</si>
  <si>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</si>
  <si>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2월</t>
    <phoneticPr fontId="2" type="noConversion"/>
  </si>
  <si>
    <t>2013년</t>
    <phoneticPr fontId="2" type="noConversion"/>
  </si>
  <si>
    <t>1월</t>
    <phoneticPr fontId="2" type="noConversion"/>
  </si>
  <si>
    <t>2014년</t>
    <phoneticPr fontId="2" type="noConversion"/>
  </si>
  <si>
    <t>2000년</t>
    <phoneticPr fontId="2" type="noConversion"/>
  </si>
  <si>
    <t>-</t>
    <phoneticPr fontId="2" type="noConversion"/>
  </si>
  <si>
    <t>2001년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</si>
  <si>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</si>
  <si>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</si>
  <si>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</si>
  <si>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</si>
  <si>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2011년</t>
    <phoneticPr fontId="2" type="noConversion"/>
  </si>
  <si>
    <t>2012년</t>
    <phoneticPr fontId="2" type="noConversion"/>
  </si>
  <si>
    <t>2014년</t>
    <phoneticPr fontId="2" type="noConversion"/>
  </si>
  <si>
    <t>2015년</t>
    <phoneticPr fontId="2" type="noConversion"/>
  </si>
  <si>
    <r>
      <t xml:space="preserve">아시아 </t>
    </r>
    <r>
      <rPr>
        <b/>
        <sz val="10"/>
        <rFont val="맑은 고딕"/>
        <family val="3"/>
        <charset val="129"/>
      </rPr>
      <t>(25개국)</t>
    </r>
    <phoneticPr fontId="2" type="noConversion"/>
  </si>
  <si>
    <t>2005년</t>
    <phoneticPr fontId="2" type="noConversion"/>
  </si>
  <si>
    <t>1월</t>
    <phoneticPr fontId="2" type="noConversion"/>
  </si>
  <si>
    <t>2월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</si>
  <si>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</si>
  <si>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</si>
  <si>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</si>
  <si>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</si>
  <si>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</si>
  <si>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</si>
  <si>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</si>
  <si>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</si>
  <si>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</si>
  <si>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</si>
  <si>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</si>
  <si>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</si>
  <si>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</si>
  <si>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</si>
  <si>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</si>
  <si>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</si>
  <si>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</si>
  <si>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2013년</t>
    <phoneticPr fontId="2" type="noConversion"/>
  </si>
  <si>
    <t>2014년</t>
    <phoneticPr fontId="2" type="noConversion"/>
  </si>
  <si>
    <t>2015년</t>
    <phoneticPr fontId="2" type="noConversion"/>
  </si>
  <si>
    <t>2000년</t>
    <phoneticPr fontId="2" type="noConversion"/>
  </si>
  <si>
    <t>2001년</t>
    <phoneticPr fontId="2" type="noConversion"/>
  </si>
  <si>
    <t>누계</t>
    <phoneticPr fontId="2" type="noConversion"/>
  </si>
  <si>
    <t>2014년</t>
    <phoneticPr fontId="2" type="noConversion"/>
  </si>
  <si>
    <t>2015년</t>
    <phoneticPr fontId="2" type="noConversion"/>
  </si>
  <si>
    <r>
      <t xml:space="preserve">아프리카 </t>
    </r>
    <r>
      <rPr>
        <b/>
        <sz val="10"/>
        <rFont val="맑은 고딕"/>
        <family val="3"/>
        <charset val="129"/>
      </rPr>
      <t>(7개국)</t>
    </r>
    <phoneticPr fontId="2" type="noConversion"/>
  </si>
  <si>
    <r>
      <t xml:space="preserve">아메리카 </t>
    </r>
    <r>
      <rPr>
        <b/>
        <sz val="10"/>
        <rFont val="맑은 고딕"/>
        <family val="3"/>
        <charset val="129"/>
      </rPr>
      <t>(12개국)</t>
    </r>
    <phoneticPr fontId="2" type="noConversion"/>
  </si>
  <si>
    <t>미국 ITA</t>
    <phoneticPr fontId="2" type="noConversion"/>
  </si>
  <si>
    <r>
      <t xml:space="preserve">오세아니아 </t>
    </r>
    <r>
      <rPr>
        <b/>
        <sz val="10"/>
        <rFont val="맑은 고딕"/>
        <family val="3"/>
        <charset val="129"/>
      </rPr>
      <t>(5개국)</t>
    </r>
    <phoneticPr fontId="2" type="noConversion"/>
  </si>
  <si>
    <t>-</t>
    <phoneticPr fontId="2" type="noConversion"/>
  </si>
  <si>
    <t>* 2014년 부터 방문자통계 세부집계</t>
    <phoneticPr fontId="2" type="noConversion"/>
  </si>
  <si>
    <t>2015년</t>
    <phoneticPr fontId="2" type="noConversion"/>
  </si>
  <si>
    <t>베트남 정부 관광국</t>
    <phoneticPr fontId="2" type="noConversion"/>
  </si>
  <si>
    <t>마카오정부 관광국</t>
    <phoneticPr fontId="2" type="noConversion"/>
  </si>
  <si>
    <t>싱가포르 정부관광국</t>
    <phoneticPr fontId="2" type="noConversion"/>
  </si>
  <si>
    <t>말레이시아 정부 관광국</t>
    <phoneticPr fontId="2" type="noConversion"/>
  </si>
  <si>
    <r>
      <t xml:space="preserve">유럽 </t>
    </r>
    <r>
      <rPr>
        <b/>
        <sz val="10"/>
        <rFont val="맑은 고딕"/>
        <family val="3"/>
        <charset val="129"/>
      </rPr>
      <t>(14개국)</t>
    </r>
    <phoneticPr fontId="2" type="noConversion"/>
  </si>
  <si>
    <t>세이쉘 통계청</t>
    <phoneticPr fontId="2" type="noConversion"/>
  </si>
  <si>
    <t>모리셔스 통계청</t>
    <phoneticPr fontId="2" type="noConversion"/>
  </si>
  <si>
    <t>스와질랜드 관광국</t>
    <phoneticPr fontId="2" type="noConversion"/>
  </si>
  <si>
    <t>남아공 관광국</t>
    <phoneticPr fontId="2" type="noConversion"/>
  </si>
  <si>
    <t>짐바브웨 관광국</t>
    <phoneticPr fontId="2" type="noConversion"/>
  </si>
  <si>
    <t>우간다 관광국</t>
    <phoneticPr fontId="2" type="noConversion"/>
  </si>
  <si>
    <t>시에라리온 관광국</t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</si>
  <si>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2015년 항공기 도착 잠정치</t>
    </r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</si>
  <si>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2014, 2015년 잠정치</t>
    </r>
    <phoneticPr fontId="2" type="noConversion"/>
  </si>
  <si>
    <t>.</t>
    <phoneticPr fontId="2" type="noConversion"/>
  </si>
  <si>
    <t>2016년</t>
    <phoneticPr fontId="2" type="noConversion"/>
  </si>
  <si>
    <t>1월</t>
    <phoneticPr fontId="2" type="noConversion"/>
  </si>
  <si>
    <t>2016년</t>
    <phoneticPr fontId="2" type="noConversion"/>
  </si>
  <si>
    <t>누계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</si>
  <si>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</si>
  <si>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</si>
  <si>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</si>
  <si>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</si>
  <si>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8월</t>
    <phoneticPr fontId="2" type="noConversion"/>
  </si>
  <si>
    <t>-</t>
    <phoneticPr fontId="2" type="noConversion"/>
  </si>
  <si>
    <t>-</t>
    <phoneticPr fontId="2" type="noConversion"/>
  </si>
  <si>
    <r>
      <t xml:space="preserve">주요국 한국인 출국 통계 </t>
    </r>
    <r>
      <rPr>
        <b/>
        <sz val="10"/>
        <rFont val="맑은 고딕"/>
        <family val="3"/>
        <charset val="129"/>
      </rPr>
      <t>(관광시장조사팀, 2017.1.31)</t>
    </r>
    <phoneticPr fontId="2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</si>
</sst>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.0"/>
    <numFmt numFmtId="180" formatCode="0_);[Red]\(0\)"/>
    <numFmt numFmtId="181" formatCode="#,##0.0_ "/>
    <numFmt numFmtId="182" formatCode="_(* #,##0_);_(* \(#,##0\);_(* &quot;-&quot;??_);_(@_)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b/>
      <sz val="10"/>
      <name val="맑은 고딕"/>
      <family val="3"/>
      <charset val="129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Arial"/>
      <family val="2"/>
    </font>
    <font>
      <sz val="10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0" borderId="0"/>
    <xf numFmtId="0" fontId="15" fillId="0" borderId="0">
      <alignment vertical="center"/>
    </xf>
    <xf numFmtId="0" fontId="13" fillId="0" borderId="0">
      <alignment vertical="center"/>
    </xf>
  </cellStyleXfs>
  <cellXfs count="519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2" xfId="0" applyNumberFormat="1" applyFont="1" applyBorder="1">
      <alignment vertical="center"/>
    </xf>
    <xf numFmtId="0" fontId="16" fillId="0" borderId="3" xfId="0" applyFont="1" applyBorder="1">
      <alignment vertical="center"/>
    </xf>
    <xf numFmtId="177" fontId="16" fillId="0" borderId="4" xfId="0" applyNumberFormat="1" applyFont="1" applyBorder="1">
      <alignment vertical="center"/>
    </xf>
    <xf numFmtId="0" fontId="16" fillId="0" borderId="5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16" fillId="0" borderId="6" xfId="0" applyFont="1" applyBorder="1">
      <alignment vertical="center"/>
    </xf>
    <xf numFmtId="176" fontId="16" fillId="0" borderId="3" xfId="0" applyNumberFormat="1" applyFont="1" applyBorder="1">
      <alignment vertical="center"/>
    </xf>
    <xf numFmtId="0" fontId="16" fillId="0" borderId="4" xfId="0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0" xfId="6" applyFont="1" applyBorder="1">
      <alignment vertical="center"/>
    </xf>
    <xf numFmtId="41" fontId="16" fillId="0" borderId="2" xfId="6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1" fontId="16" fillId="0" borderId="4" xfId="6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7" fontId="16" fillId="0" borderId="9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41" fontId="16" fillId="0" borderId="11" xfId="6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7" fontId="17" fillId="0" borderId="11" xfId="0" applyNumberFormat="1" applyFont="1" applyBorder="1">
      <alignment vertical="center"/>
    </xf>
    <xf numFmtId="177" fontId="16" fillId="0" borderId="12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7" fontId="16" fillId="0" borderId="14" xfId="0" applyNumberFormat="1" applyFont="1" applyBorder="1">
      <alignment vertical="center"/>
    </xf>
    <xf numFmtId="176" fontId="16" fillId="0" borderId="15" xfId="0" applyNumberFormat="1" applyFont="1" applyBorder="1">
      <alignment vertical="center"/>
    </xf>
    <xf numFmtId="177" fontId="16" fillId="0" borderId="16" xfId="0" applyNumberFormat="1" applyFont="1" applyBorder="1">
      <alignment vertical="center"/>
    </xf>
    <xf numFmtId="176" fontId="16" fillId="0" borderId="17" xfId="0" applyNumberFormat="1" applyFont="1" applyBorder="1">
      <alignment vertical="center"/>
    </xf>
    <xf numFmtId="177" fontId="16" fillId="0" borderId="14" xfId="0" applyNumberFormat="1" applyFont="1" applyBorder="1" applyAlignment="1">
      <alignment vertical="center"/>
    </xf>
    <xf numFmtId="176" fontId="16" fillId="0" borderId="13" xfId="0" applyNumberFormat="1" applyFont="1" applyBorder="1" applyAlignment="1">
      <alignment vertical="center"/>
    </xf>
    <xf numFmtId="41" fontId="16" fillId="0" borderId="14" xfId="6" applyFont="1" applyBorder="1">
      <alignment vertical="center"/>
    </xf>
    <xf numFmtId="41" fontId="16" fillId="0" borderId="16" xfId="6" applyFont="1" applyBorder="1">
      <alignment vertical="center"/>
    </xf>
    <xf numFmtId="41" fontId="16" fillId="0" borderId="12" xfId="6" applyFont="1" applyBorder="1">
      <alignment vertical="center"/>
    </xf>
    <xf numFmtId="41" fontId="16" fillId="0" borderId="15" xfId="6" applyFont="1" applyBorder="1">
      <alignment vertical="center"/>
    </xf>
    <xf numFmtId="41" fontId="16" fillId="0" borderId="14" xfId="6" applyFont="1" applyBorder="1" applyAlignment="1">
      <alignment vertical="center"/>
    </xf>
    <xf numFmtId="176" fontId="16" fillId="0" borderId="5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41" fontId="16" fillId="0" borderId="5" xfId="6" applyFont="1" applyBorder="1">
      <alignment vertical="center"/>
    </xf>
    <xf numFmtId="0" fontId="16" fillId="0" borderId="18" xfId="0" applyFont="1" applyBorder="1" applyAlignment="1">
      <alignment horizontal="center" vertical="center"/>
    </xf>
    <xf numFmtId="177" fontId="16" fillId="0" borderId="11" xfId="0" applyNumberFormat="1" applyFont="1" applyBorder="1">
      <alignment vertical="center"/>
    </xf>
    <xf numFmtId="176" fontId="16" fillId="0" borderId="19" xfId="0" applyNumberFormat="1" applyFont="1" applyBorder="1">
      <alignment vertical="center"/>
    </xf>
    <xf numFmtId="177" fontId="16" fillId="0" borderId="20" xfId="0" applyNumberFormat="1" applyFont="1" applyBorder="1">
      <alignment vertical="center"/>
    </xf>
    <xf numFmtId="176" fontId="16" fillId="0" borderId="21" xfId="0" applyNumberFormat="1" applyFont="1" applyBorder="1">
      <alignment vertical="center"/>
    </xf>
    <xf numFmtId="177" fontId="16" fillId="0" borderId="11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41" fontId="16" fillId="0" borderId="11" xfId="6" applyFont="1" applyBorder="1">
      <alignment vertical="center"/>
    </xf>
    <xf numFmtId="41" fontId="16" fillId="0" borderId="20" xfId="6" applyFont="1" applyBorder="1">
      <alignment vertical="center"/>
    </xf>
    <xf numFmtId="41" fontId="16" fillId="0" borderId="9" xfId="6" applyFont="1" applyBorder="1">
      <alignment vertical="center"/>
    </xf>
    <xf numFmtId="41" fontId="16" fillId="0" borderId="19" xfId="6" applyFont="1" applyBorder="1">
      <alignment vertical="center"/>
    </xf>
    <xf numFmtId="3" fontId="18" fillId="0" borderId="4" xfId="0" applyNumberFormat="1" applyFont="1" applyBorder="1" applyAlignment="1">
      <alignment horizontal="right" vertical="center"/>
    </xf>
    <xf numFmtId="177" fontId="16" fillId="0" borderId="22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177" fontId="16" fillId="0" borderId="24" xfId="0" applyNumberFormat="1" applyFont="1" applyBorder="1">
      <alignment vertical="center"/>
    </xf>
    <xf numFmtId="177" fontId="19" fillId="0" borderId="25" xfId="0" applyNumberFormat="1" applyFont="1" applyBorder="1" applyAlignment="1">
      <alignment vertical="center"/>
    </xf>
    <xf numFmtId="41" fontId="15" fillId="0" borderId="0" xfId="6" applyFont="1" applyBorder="1">
      <alignment vertical="center"/>
    </xf>
    <xf numFmtId="176" fontId="15" fillId="0" borderId="17" xfId="0" applyNumberFormat="1" applyFont="1" applyBorder="1">
      <alignment vertical="center"/>
    </xf>
    <xf numFmtId="176" fontId="15" fillId="0" borderId="6" xfId="0" applyNumberFormat="1" applyFont="1" applyBorder="1">
      <alignment vertical="center"/>
    </xf>
    <xf numFmtId="178" fontId="19" fillId="0" borderId="25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2" xfId="0" quotePrefix="1" applyNumberFormat="1" applyFont="1" applyBorder="1">
      <alignment vertical="center"/>
    </xf>
    <xf numFmtId="41" fontId="15" fillId="0" borderId="22" xfId="6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6" fillId="0" borderId="72" xfId="0" applyNumberFormat="1" applyFont="1" applyBorder="1">
      <alignment vertical="center"/>
    </xf>
    <xf numFmtId="176" fontId="16" fillId="0" borderId="73" xfId="0" applyNumberFormat="1" applyFont="1" applyBorder="1">
      <alignment vertical="center"/>
    </xf>
    <xf numFmtId="177" fontId="16" fillId="0" borderId="4" xfId="0" applyNumberFormat="1" applyFont="1" applyFill="1" applyBorder="1">
      <alignment vertical="center"/>
    </xf>
    <xf numFmtId="176" fontId="15" fillId="0" borderId="3" xfId="0" applyNumberFormat="1" applyFont="1" applyBorder="1" applyAlignment="1">
      <alignment vertical="center"/>
    </xf>
    <xf numFmtId="41" fontId="15" fillId="0" borderId="23" xfId="6" applyFont="1" applyBorder="1" applyAlignment="1">
      <alignment vertical="center"/>
    </xf>
    <xf numFmtId="176" fontId="16" fillId="0" borderId="74" xfId="0" applyNumberFormat="1" applyFont="1" applyBorder="1">
      <alignment vertical="center"/>
    </xf>
    <xf numFmtId="176" fontId="16" fillId="0" borderId="75" xfId="0" applyNumberFormat="1" applyFont="1" applyBorder="1">
      <alignment vertical="center"/>
    </xf>
    <xf numFmtId="0" fontId="16" fillId="0" borderId="8" xfId="0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22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41" fontId="16" fillId="0" borderId="4" xfId="6" applyFont="1" applyFill="1" applyBorder="1">
      <alignment vertical="center"/>
    </xf>
    <xf numFmtId="176" fontId="16" fillId="0" borderId="75" xfId="0" applyNumberFormat="1" applyFont="1" applyFill="1" applyBorder="1">
      <alignment vertical="center"/>
    </xf>
    <xf numFmtId="41" fontId="16" fillId="0" borderId="22" xfId="6" applyFont="1" applyFill="1" applyBorder="1" applyAlignment="1">
      <alignment vertical="center"/>
    </xf>
    <xf numFmtId="176" fontId="16" fillId="0" borderId="0" xfId="4" applyNumberFormat="1" applyFont="1" applyBorder="1">
      <alignment vertical="center"/>
    </xf>
    <xf numFmtId="41" fontId="16" fillId="0" borderId="22" xfId="6" applyFont="1" applyFill="1" applyBorder="1">
      <alignment vertical="center"/>
    </xf>
    <xf numFmtId="41" fontId="16" fillId="0" borderId="22" xfId="6" applyFont="1" applyBorder="1">
      <alignment vertical="center"/>
    </xf>
    <xf numFmtId="176" fontId="16" fillId="0" borderId="21" xfId="0" applyNumberFormat="1" applyFont="1" applyFill="1" applyBorder="1">
      <alignment vertical="center"/>
    </xf>
    <xf numFmtId="176" fontId="16" fillId="0" borderId="10" xfId="0" applyNumberFormat="1" applyFont="1" applyFill="1" applyBorder="1">
      <alignment vertical="center"/>
    </xf>
    <xf numFmtId="177" fontId="16" fillId="0" borderId="0" xfId="0" applyNumberFormat="1" applyFont="1">
      <alignment vertical="center"/>
    </xf>
    <xf numFmtId="0" fontId="16" fillId="0" borderId="2" xfId="0" applyFont="1" applyBorder="1">
      <alignment vertical="center"/>
    </xf>
    <xf numFmtId="176" fontId="16" fillId="0" borderId="17" xfId="0" applyNumberFormat="1" applyFont="1" applyFill="1" applyBorder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76" fontId="16" fillId="0" borderId="28" xfId="0" applyNumberFormat="1" applyFont="1" applyBorder="1">
      <alignment vertical="center"/>
    </xf>
    <xf numFmtId="177" fontId="16" fillId="0" borderId="29" xfId="0" applyNumberFormat="1" applyFont="1" applyBorder="1">
      <alignment vertical="center"/>
    </xf>
    <xf numFmtId="176" fontId="16" fillId="0" borderId="28" xfId="0" applyNumberFormat="1" applyFont="1" applyBorder="1" applyAlignment="1">
      <alignment horizontal="right" vertical="center"/>
    </xf>
    <xf numFmtId="177" fontId="16" fillId="0" borderId="29" xfId="0" applyNumberFormat="1" applyFont="1" applyBorder="1" applyAlignment="1">
      <alignment horizontal="right" vertical="center"/>
    </xf>
    <xf numFmtId="176" fontId="16" fillId="0" borderId="28" xfId="0" quotePrefix="1" applyNumberFormat="1" applyFont="1" applyBorder="1" applyAlignment="1">
      <alignment horizontal="right" vertical="center"/>
    </xf>
    <xf numFmtId="177" fontId="16" fillId="0" borderId="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10" fontId="16" fillId="0" borderId="3" xfId="0" applyNumberFormat="1" applyFont="1" applyBorder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77" fontId="16" fillId="0" borderId="38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1" fontId="16" fillId="0" borderId="40" xfId="6" applyFont="1" applyBorder="1" applyAlignment="1">
      <alignment horizontal="center" vertical="center"/>
    </xf>
    <xf numFmtId="41" fontId="16" fillId="0" borderId="43" xfId="6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7" fontId="16" fillId="0" borderId="44" xfId="0" applyNumberFormat="1" applyFont="1" applyFill="1" applyBorder="1">
      <alignment vertical="center"/>
    </xf>
    <xf numFmtId="176" fontId="16" fillId="0" borderId="45" xfId="4" applyNumberFormat="1" applyFont="1" applyFill="1" applyBorder="1">
      <alignment vertical="center"/>
    </xf>
    <xf numFmtId="41" fontId="16" fillId="0" borderId="29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0" fontId="21" fillId="2" borderId="46" xfId="0" applyFont="1" applyFill="1" applyBorder="1" applyAlignment="1">
      <alignment vertical="center"/>
    </xf>
    <xf numFmtId="0" fontId="21" fillId="2" borderId="47" xfId="0" applyFont="1" applyFill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0" xfId="0" applyFont="1" applyBorder="1">
      <alignment vertical="center"/>
    </xf>
    <xf numFmtId="0" fontId="16" fillId="0" borderId="51" xfId="0" applyFont="1" applyBorder="1">
      <alignment vertical="center"/>
    </xf>
    <xf numFmtId="176" fontId="16" fillId="0" borderId="50" xfId="0" applyNumberFormat="1" applyFont="1" applyBorder="1">
      <alignment vertical="center"/>
    </xf>
    <xf numFmtId="176" fontId="16" fillId="0" borderId="52" xfId="0" applyNumberFormat="1" applyFont="1" applyBorder="1">
      <alignment vertical="center"/>
    </xf>
    <xf numFmtId="176" fontId="16" fillId="0" borderId="51" xfId="0" applyNumberFormat="1" applyFont="1" applyBorder="1">
      <alignment vertical="center"/>
    </xf>
    <xf numFmtId="41" fontId="16" fillId="0" borderId="3" xfId="6" applyFont="1" applyBorder="1">
      <alignment vertical="center"/>
    </xf>
    <xf numFmtId="176" fontId="16" fillId="0" borderId="13" xfId="0" applyNumberFormat="1" applyFont="1" applyBorder="1" applyAlignment="1">
      <alignment horizontal="right" vertical="center"/>
    </xf>
    <xf numFmtId="0" fontId="16" fillId="0" borderId="13" xfId="0" applyFont="1" applyBorder="1">
      <alignment vertical="center"/>
    </xf>
    <xf numFmtId="177" fontId="16" fillId="0" borderId="12" xfId="0" applyNumberFormat="1" applyFont="1" applyBorder="1" applyAlignment="1">
      <alignment horizontal="right"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4" xfId="0" applyNumberFormat="1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0" fontId="22" fillId="2" borderId="47" xfId="0" applyFont="1" applyFill="1" applyBorder="1" applyAlignment="1">
      <alignment vertical="center"/>
    </xf>
    <xf numFmtId="0" fontId="22" fillId="2" borderId="46" xfId="0" applyFont="1" applyFill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 applyBorder="1">
      <alignment vertical="center"/>
    </xf>
    <xf numFmtId="177" fontId="20" fillId="3" borderId="0" xfId="0" applyNumberFormat="1" applyFont="1" applyFill="1">
      <alignment vertical="center"/>
    </xf>
    <xf numFmtId="0" fontId="23" fillId="3" borderId="56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41" fontId="16" fillId="3" borderId="0" xfId="6" applyFont="1" applyFill="1">
      <alignment vertical="center"/>
    </xf>
    <xf numFmtId="177" fontId="3" fillId="3" borderId="0" xfId="0" applyNumberFormat="1" applyFont="1" applyFill="1">
      <alignment vertical="center"/>
    </xf>
    <xf numFmtId="41" fontId="1" fillId="3" borderId="0" xfId="6" applyFont="1" applyFill="1">
      <alignment vertical="center"/>
    </xf>
    <xf numFmtId="41" fontId="0" fillId="3" borderId="0" xfId="0" applyNumberFormat="1" applyFill="1">
      <alignment vertical="center"/>
    </xf>
    <xf numFmtId="3" fontId="0" fillId="3" borderId="0" xfId="0" applyNumberFormat="1" applyFill="1">
      <alignment vertical="center"/>
    </xf>
    <xf numFmtId="182" fontId="15" fillId="3" borderId="0" xfId="5" applyNumberFormat="1" applyFont="1" applyFill="1" applyAlignment="1"/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Border="1">
      <alignment vertical="center"/>
    </xf>
    <xf numFmtId="179" fontId="20" fillId="3" borderId="0" xfId="0" applyNumberFormat="1" applyFont="1" applyFill="1">
      <alignment vertical="center"/>
    </xf>
    <xf numFmtId="0" fontId="20" fillId="3" borderId="0" xfId="0" applyFont="1" applyFill="1" applyAlignment="1">
      <alignment horizontal="right" vertical="center"/>
    </xf>
    <xf numFmtId="3" fontId="24" fillId="3" borderId="0" xfId="0" applyNumberFormat="1" applyFont="1" applyFill="1" applyAlignment="1"/>
    <xf numFmtId="182" fontId="16" fillId="3" borderId="0" xfId="5" quotePrefix="1" applyNumberFormat="1" applyFont="1" applyFill="1" applyBorder="1" applyAlignment="1">
      <alignment horizontal="right"/>
    </xf>
    <xf numFmtId="182" fontId="16" fillId="3" borderId="0" xfId="5" applyNumberFormat="1" applyFont="1" applyFill="1" applyBorder="1" applyAlignment="1"/>
    <xf numFmtId="0" fontId="23" fillId="3" borderId="0" xfId="0" applyFont="1" applyFill="1" applyAlignment="1">
      <alignment horizontal="left" vertical="center"/>
    </xf>
    <xf numFmtId="0" fontId="25" fillId="3" borderId="0" xfId="0" applyFont="1" applyFill="1">
      <alignment vertical="center"/>
    </xf>
    <xf numFmtId="0" fontId="22" fillId="3" borderId="0" xfId="0" applyFont="1" applyFill="1">
      <alignment vertical="center"/>
    </xf>
    <xf numFmtId="176" fontId="20" fillId="3" borderId="0" xfId="4" applyNumberFormat="1" applyFont="1" applyFill="1">
      <alignment vertical="center"/>
    </xf>
    <xf numFmtId="0" fontId="16" fillId="3" borderId="57" xfId="0" applyFont="1" applyFill="1" applyBorder="1" applyAlignment="1">
      <alignment vertical="center"/>
    </xf>
    <xf numFmtId="0" fontId="25" fillId="3" borderId="57" xfId="0" applyFont="1" applyFill="1" applyBorder="1" applyAlignment="1">
      <alignment vertical="center"/>
    </xf>
    <xf numFmtId="41" fontId="16" fillId="0" borderId="29" xfId="6" applyFont="1" applyBorder="1">
      <alignment vertical="center"/>
    </xf>
    <xf numFmtId="41" fontId="16" fillId="0" borderId="4" xfId="6" applyFont="1" applyBorder="1" applyAlignment="1">
      <alignment horizontal="center" vertical="center"/>
    </xf>
    <xf numFmtId="176" fontId="16" fillId="0" borderId="13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10" xfId="4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7" fontId="16" fillId="0" borderId="9" xfId="0" applyNumberFormat="1" applyFont="1" applyFill="1" applyBorder="1">
      <alignment vertical="center"/>
    </xf>
    <xf numFmtId="3" fontId="20" fillId="3" borderId="0" xfId="0" applyNumberFormat="1" applyFont="1" applyFill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3" fontId="16" fillId="0" borderId="2" xfId="0" applyNumberFormat="1" applyFont="1" applyBorder="1">
      <alignment vertical="center"/>
    </xf>
    <xf numFmtId="182" fontId="16" fillId="0" borderId="2" xfId="0" applyNumberFormat="1" applyFont="1" applyBorder="1">
      <alignment vertical="center"/>
    </xf>
    <xf numFmtId="3" fontId="16" fillId="0" borderId="9" xfId="0" applyNumberFormat="1" applyFont="1" applyBorder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1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176" fontId="16" fillId="0" borderId="45" xfId="4" applyNumberFormat="1" applyFont="1" applyFill="1" applyBorder="1" applyAlignment="1">
      <alignment horizontal="right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25" fillId="3" borderId="57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81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0" fontId="20" fillId="3" borderId="0" xfId="0" applyFont="1" applyFill="1" applyAlignment="1">
      <alignment horizontal="center" vertical="center"/>
    </xf>
    <xf numFmtId="0" fontId="14" fillId="3" borderId="0" xfId="0" applyFont="1" applyFill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6" xfId="0" applyNumberFormat="1" applyFont="1" applyBorder="1" applyAlignment="1">
      <alignment horizontal="right" vertical="center"/>
    </xf>
    <xf numFmtId="41" fontId="16" fillId="0" borderId="12" xfId="6" applyFont="1" applyBorder="1">
      <alignment vertical="center"/>
    </xf>
    <xf numFmtId="41" fontId="16" fillId="0" borderId="2" xfId="6" applyFont="1" applyBorder="1">
      <alignment vertical="center"/>
    </xf>
    <xf numFmtId="41" fontId="16" fillId="0" borderId="4" xfId="6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9" xfId="6" applyFont="1" applyBorder="1">
      <alignment vertical="center"/>
    </xf>
    <xf numFmtId="41" fontId="16" fillId="0" borderId="11" xfId="6" applyFont="1" applyBorder="1">
      <alignment vertical="center"/>
    </xf>
    <xf numFmtId="176" fontId="16" fillId="0" borderId="10" xfId="0" applyNumberFormat="1" applyFont="1" applyBorder="1">
      <alignment vertical="center"/>
    </xf>
    <xf numFmtId="41" fontId="16" fillId="0" borderId="14" xfId="6" applyFont="1" applyBorder="1">
      <alignment vertical="center"/>
    </xf>
    <xf numFmtId="176" fontId="16" fillId="0" borderId="61" xfId="0" applyNumberFormat="1" applyFont="1" applyBorder="1" applyAlignment="1">
      <alignment horizontal="right" vertical="center"/>
    </xf>
    <xf numFmtId="176" fontId="16" fillId="0" borderId="62" xfId="4" applyNumberFormat="1" applyFont="1" applyFill="1" applyBorder="1">
      <alignment vertical="center"/>
    </xf>
    <xf numFmtId="0" fontId="16" fillId="0" borderId="29" xfId="0" applyFont="1" applyBorder="1">
      <alignment vertical="center"/>
    </xf>
    <xf numFmtId="0" fontId="16" fillId="0" borderId="63" xfId="0" applyFont="1" applyBorder="1">
      <alignment vertical="center"/>
    </xf>
    <xf numFmtId="177" fontId="16" fillId="0" borderId="14" xfId="0" applyNumberFormat="1" applyFont="1" applyFill="1" applyBorder="1" applyAlignment="1">
      <alignment vertical="center"/>
    </xf>
    <xf numFmtId="176" fontId="16" fillId="0" borderId="17" xfId="0" applyNumberFormat="1" applyFont="1" applyFill="1" applyBorder="1" applyAlignment="1">
      <alignment vertical="center"/>
    </xf>
    <xf numFmtId="176" fontId="16" fillId="0" borderId="17" xfId="0" applyNumberFormat="1" applyFont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0" fontId="21" fillId="2" borderId="31" xfId="0" applyFont="1" applyFill="1" applyBorder="1" applyAlignment="1">
      <alignment horizontal="left" vertical="center" indent="1"/>
    </xf>
    <xf numFmtId="41" fontId="16" fillId="0" borderId="14" xfId="0" applyNumberFormat="1" applyFont="1" applyBorder="1">
      <alignment vertical="center"/>
    </xf>
    <xf numFmtId="41" fontId="16" fillId="0" borderId="2" xfId="0" applyNumberFormat="1" applyFont="1" applyBorder="1">
      <alignment vertical="center"/>
    </xf>
    <xf numFmtId="41" fontId="16" fillId="0" borderId="9" xfId="0" applyNumberFormat="1" applyFont="1" applyBorder="1">
      <alignment vertical="center"/>
    </xf>
    <xf numFmtId="41" fontId="16" fillId="0" borderId="4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3" fontId="26" fillId="3" borderId="0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3" fontId="16" fillId="0" borderId="14" xfId="0" applyNumberFormat="1" applyFont="1" applyBorder="1">
      <alignment vertical="center"/>
    </xf>
    <xf numFmtId="3" fontId="16" fillId="0" borderId="4" xfId="0" applyNumberFormat="1" applyFont="1" applyBorder="1">
      <alignment vertical="center"/>
    </xf>
    <xf numFmtId="3" fontId="16" fillId="0" borderId="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4" xfId="0" applyNumberFormat="1" applyFont="1" applyBorder="1" applyAlignment="1">
      <alignment vertical="center"/>
    </xf>
    <xf numFmtId="41" fontId="16" fillId="0" borderId="4" xfId="0" applyNumberFormat="1" applyFont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3" fontId="27" fillId="0" borderId="0" xfId="0" applyNumberFormat="1" applyFont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13" xfId="0" applyNumberFormat="1" applyFont="1" applyFill="1" applyBorder="1" applyAlignment="1">
      <alignment vertical="center"/>
    </xf>
    <xf numFmtId="0" fontId="16" fillId="3" borderId="64" xfId="0" applyFont="1" applyFill="1" applyBorder="1" applyAlignment="1">
      <alignment vertical="center"/>
    </xf>
    <xf numFmtId="180" fontId="16" fillId="0" borderId="14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57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0" borderId="0" xfId="0" applyFont="1" applyFill="1">
      <alignment vertical="center"/>
    </xf>
    <xf numFmtId="176" fontId="16" fillId="0" borderId="13" xfId="0" applyNumberFormat="1" applyFont="1" applyFill="1" applyBorder="1">
      <alignment vertical="center"/>
    </xf>
    <xf numFmtId="0" fontId="25" fillId="0" borderId="57" xfId="0" applyFont="1" applyFill="1" applyBorder="1" applyAlignment="1">
      <alignment vertical="center"/>
    </xf>
    <xf numFmtId="0" fontId="25" fillId="3" borderId="64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80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177" fontId="16" fillId="0" borderId="12" xfId="0" applyNumberFormat="1" applyFont="1" applyFill="1" applyBorder="1">
      <alignment vertical="center"/>
    </xf>
    <xf numFmtId="0" fontId="16" fillId="3" borderId="16" xfId="0" applyFont="1" applyFill="1" applyBorder="1">
      <alignment vertical="center"/>
    </xf>
    <xf numFmtId="177" fontId="16" fillId="0" borderId="12" xfId="0" applyNumberFormat="1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80" fontId="16" fillId="0" borderId="4" xfId="0" applyNumberFormat="1" applyFont="1" applyFill="1" applyBorder="1" applyAlignment="1">
      <alignment horizontal="center" vertical="center"/>
    </xf>
    <xf numFmtId="177" fontId="16" fillId="0" borderId="1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16" fillId="0" borderId="65" xfId="0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vertical="center"/>
    </xf>
    <xf numFmtId="0" fontId="16" fillId="0" borderId="64" xfId="0" applyFont="1" applyFill="1" applyBorder="1" applyAlignment="1">
      <alignment vertical="center"/>
    </xf>
    <xf numFmtId="177" fontId="16" fillId="0" borderId="14" xfId="0" applyNumberFormat="1" applyFont="1" applyFill="1" applyBorder="1">
      <alignment vertical="center"/>
    </xf>
    <xf numFmtId="177" fontId="16" fillId="0" borderId="16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3" fillId="0" borderId="0" xfId="0" applyFont="1" applyFill="1">
      <alignment vertical="center"/>
    </xf>
    <xf numFmtId="177" fontId="16" fillId="0" borderId="16" xfId="0" applyNumberFormat="1" applyFont="1" applyFill="1" applyBorder="1" applyAlignment="1">
      <alignment vertical="center"/>
    </xf>
    <xf numFmtId="177" fontId="16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80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80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80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7" fontId="16" fillId="0" borderId="0" xfId="0" applyNumberFormat="1" applyFont="1" applyFill="1" applyBorder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80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4" xfId="6" applyFont="1" applyBorder="1" applyAlignment="1">
      <alignment horizontal="right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41" fontId="16" fillId="0" borderId="2" xfId="6" applyFont="1" applyBorder="1" applyAlignment="1">
      <alignment horizontal="right" vertical="center"/>
    </xf>
    <xf numFmtId="41" fontId="27" fillId="0" borderId="0" xfId="6" applyFont="1" applyAlignment="1">
      <alignment horizontal="right" vertical="center"/>
    </xf>
    <xf numFmtId="176" fontId="16" fillId="0" borderId="3" xfId="0" applyNumberFormat="1" applyFont="1" applyFill="1" applyBorder="1" applyAlignment="1">
      <alignment horizontal="center" vertical="center"/>
    </xf>
    <xf numFmtId="180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80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0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9" fontId="16" fillId="0" borderId="13" xfId="4" applyFont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9" xfId="0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3" fontId="16" fillId="0" borderId="4" xfId="6" applyNumberFormat="1" applyFont="1" applyFill="1" applyBorder="1" applyAlignment="1">
      <alignment horizontal="center" vertical="center"/>
    </xf>
    <xf numFmtId="3" fontId="16" fillId="0" borderId="76" xfId="6" applyNumberFormat="1" applyFont="1" applyFill="1" applyBorder="1" applyAlignment="1">
      <alignment horizontal="center" vertical="center"/>
    </xf>
    <xf numFmtId="176" fontId="16" fillId="0" borderId="3" xfId="4" applyNumberFormat="1" applyFont="1" applyBorder="1" applyAlignment="1">
      <alignment vertical="center"/>
    </xf>
    <xf numFmtId="177" fontId="16" fillId="0" borderId="14" xfId="0" applyNumberFormat="1" applyFont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/>
    </xf>
    <xf numFmtId="176" fontId="16" fillId="0" borderId="13" xfId="4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center" vertical="center"/>
    </xf>
    <xf numFmtId="176" fontId="16" fillId="0" borderId="10" xfId="4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10" xfId="0" applyNumberFormat="1" applyFont="1" applyBorder="1" applyAlignment="1">
      <alignment horizontal="right" vertical="center"/>
    </xf>
    <xf numFmtId="176" fontId="16" fillId="0" borderId="13" xfId="4" applyNumberFormat="1" applyFont="1" applyBorder="1" applyAlignment="1">
      <alignment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177" fontId="16" fillId="0" borderId="1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41" fontId="16" fillId="0" borderId="4" xfId="6" applyFont="1" applyBorder="1" applyAlignment="1">
      <alignment horizontal="center" vertical="center"/>
    </xf>
    <xf numFmtId="176" fontId="16" fillId="0" borderId="0" xfId="4" applyNumberFormat="1" applyFont="1" applyBorder="1" applyAlignment="1">
      <alignment horizontal="right" vertical="center"/>
    </xf>
    <xf numFmtId="0" fontId="20" fillId="0" borderId="3" xfId="0" applyFont="1" applyBorder="1">
      <alignment vertical="center"/>
    </xf>
    <xf numFmtId="180" fontId="16" fillId="0" borderId="4" xfId="0" applyNumberFormat="1" applyFont="1" applyFill="1" applyBorder="1" applyAlignment="1">
      <alignment horizontal="center" vertical="center"/>
    </xf>
    <xf numFmtId="176" fontId="16" fillId="0" borderId="3" xfId="4" applyNumberFormat="1" applyFont="1" applyBorder="1" applyAlignment="1">
      <alignment horizontal="right" vertical="center"/>
    </xf>
    <xf numFmtId="41" fontId="15" fillId="0" borderId="14" xfId="6" applyFont="1" applyBorder="1" applyAlignment="1">
      <alignment horizontal="center" vertical="center"/>
    </xf>
    <xf numFmtId="41" fontId="15" fillId="0" borderId="4" xfId="6" applyFont="1" applyBorder="1" applyAlignment="1">
      <alignment horizontal="center" vertical="center"/>
    </xf>
    <xf numFmtId="41" fontId="16" fillId="0" borderId="11" xfId="6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19" xfId="0" applyNumberFormat="1" applyFont="1" applyBorder="1" applyAlignment="1">
      <alignment horizontal="right" vertical="center"/>
    </xf>
    <xf numFmtId="41" fontId="16" fillId="0" borderId="14" xfId="6" applyFont="1" applyBorder="1" applyAlignment="1">
      <alignment horizontal="center" vertical="center"/>
    </xf>
    <xf numFmtId="0" fontId="22" fillId="4" borderId="69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41" fontId="15" fillId="0" borderId="22" xfId="6" applyFont="1" applyBorder="1" applyAlignment="1">
      <alignment horizontal="center" vertical="center"/>
    </xf>
    <xf numFmtId="41" fontId="15" fillId="0" borderId="23" xfId="6" applyFont="1" applyBorder="1" applyAlignment="1">
      <alignment horizontal="center" vertical="center"/>
    </xf>
    <xf numFmtId="41" fontId="15" fillId="0" borderId="24" xfId="6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right" vertical="center"/>
    </xf>
    <xf numFmtId="176" fontId="16" fillId="0" borderId="6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176" fontId="15" fillId="0" borderId="21" xfId="0" applyNumberFormat="1" applyFont="1" applyBorder="1" applyAlignment="1">
      <alignment horizontal="right" vertical="center"/>
    </xf>
    <xf numFmtId="176" fontId="16" fillId="0" borderId="16" xfId="4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center" vertical="center"/>
    </xf>
    <xf numFmtId="176" fontId="16" fillId="0" borderId="6" xfId="4" applyNumberFormat="1" applyFont="1" applyBorder="1" applyAlignment="1">
      <alignment horizontal="right" vertical="center"/>
    </xf>
    <xf numFmtId="176" fontId="16" fillId="0" borderId="13" xfId="4" applyNumberFormat="1" applyFont="1" applyBorder="1" applyAlignment="1">
      <alignment horizontal="right" vertical="center"/>
    </xf>
    <xf numFmtId="176" fontId="16" fillId="0" borderId="5" xfId="4" applyNumberFormat="1" applyFont="1" applyBorder="1" applyAlignment="1">
      <alignment horizontal="right" vertical="center"/>
    </xf>
    <xf numFmtId="0" fontId="16" fillId="0" borderId="6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8" xfId="0" applyBorder="1">
      <alignment vertical="center"/>
    </xf>
    <xf numFmtId="0" fontId="16" fillId="0" borderId="5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3" borderId="14" xfId="0" applyNumberFormat="1" applyFont="1" applyFill="1" applyBorder="1" applyAlignment="1">
      <alignment horizontal="center" vertical="center"/>
    </xf>
    <xf numFmtId="177" fontId="16" fillId="3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176" fontId="16" fillId="0" borderId="10" xfId="4" applyNumberFormat="1" applyFont="1" applyBorder="1" applyAlignment="1">
      <alignment horizontal="right" vertical="center"/>
    </xf>
    <xf numFmtId="3" fontId="16" fillId="0" borderId="14" xfId="6" applyNumberFormat="1" applyFont="1" applyFill="1" applyBorder="1" applyAlignment="1">
      <alignment horizontal="center" vertical="center"/>
    </xf>
    <xf numFmtId="41" fontId="16" fillId="0" borderId="14" xfId="6" applyFont="1" applyFill="1" applyBorder="1" applyAlignment="1">
      <alignment horizontal="center" vertical="center"/>
    </xf>
    <xf numFmtId="41" fontId="16" fillId="0" borderId="4" xfId="6" applyFont="1" applyFill="1" applyBorder="1" applyAlignment="1">
      <alignment horizontal="center" vertical="center"/>
    </xf>
    <xf numFmtId="176" fontId="16" fillId="0" borderId="3" xfId="4" applyNumberFormat="1" applyFont="1" applyBorder="1">
      <alignment vertical="center"/>
    </xf>
    <xf numFmtId="41" fontId="16" fillId="0" borderId="2" xfId="6" applyFont="1" applyBorder="1">
      <alignment vertical="center"/>
    </xf>
    <xf numFmtId="176" fontId="16" fillId="0" borderId="10" xfId="4" applyNumberFormat="1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12" xfId="6" applyFont="1" applyBorder="1">
      <alignment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horizontal="center" vertical="center"/>
    </xf>
    <xf numFmtId="176" fontId="16" fillId="0" borderId="13" xfId="4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16" fillId="0" borderId="10" xfId="4" applyNumberFormat="1" applyFont="1" applyBorder="1" applyAlignment="1">
      <alignment vertical="center"/>
    </xf>
    <xf numFmtId="0" fontId="21" fillId="2" borderId="31" xfId="0" applyFont="1" applyFill="1" applyBorder="1" applyAlignment="1">
      <alignment horizontal="left" vertical="center" indent="1"/>
    </xf>
    <xf numFmtId="0" fontId="21" fillId="2" borderId="46" xfId="0" applyFont="1" applyFill="1" applyBorder="1" applyAlignment="1">
      <alignment horizontal="left" vertical="center" indent="1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13" xfId="4" applyNumberFormat="1" applyFont="1" applyBorder="1">
      <alignment vertical="center"/>
    </xf>
    <xf numFmtId="41" fontId="16" fillId="0" borderId="14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41" fontId="16" fillId="0" borderId="14" xfId="6" applyFont="1" applyBorder="1">
      <alignment vertical="center"/>
    </xf>
    <xf numFmtId="41" fontId="16" fillId="0" borderId="9" xfId="6" applyFont="1" applyBorder="1">
      <alignment vertical="center"/>
    </xf>
    <xf numFmtId="0" fontId="16" fillId="3" borderId="27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0" fillId="0" borderId="4" xfId="0" applyBorder="1">
      <alignment vertical="center"/>
    </xf>
    <xf numFmtId="0" fontId="25" fillId="0" borderId="66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</cellXfs>
  <cellStyles count="11">
    <cellStyle name="Normal 3" xfId="1"/>
    <cellStyle name="Normal 6" xfId="2"/>
    <cellStyle name="Normal_7 2" xfId="3"/>
    <cellStyle name="백분율" xfId="4" builtinId="5"/>
    <cellStyle name="쉼표" xfId="5" builtinId="3"/>
    <cellStyle name="쉼표 [0]" xfId="6" builtinId="6"/>
    <cellStyle name="쉼표 [0] 2" xfId="7"/>
    <cellStyle name="一般_SCCouE201312" xfId="8"/>
    <cellStyle name="표준" xfId="0" builtinId="0"/>
    <cellStyle name="표준 2" xfId="9"/>
    <cellStyle name="표준 6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102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114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P183"/>
  <sheetViews>
    <sheetView tabSelected="1" zoomScaleNormal="100" zoomScaleSheetLayoutView="40" workbookViewId="0">
      <pane xSplit="2" ySplit="5" topLeftCell="C150" activePane="bottomRight" state="frozen"/>
      <selection pane="topRight" activeCell="C1" sqref="C1"/>
      <selection pane="bottomLeft" activeCell="A6" sqref="A6"/>
      <selection pane="bottomRight" activeCell="C178" sqref="C178"/>
    </sheetView>
  </sheetViews>
  <sheetFormatPr defaultRowHeight="13.5"/>
  <cols>
    <col min="1" max="1" width="6.109375" style="159" customWidth="1"/>
    <col min="2" max="2" width="4.5546875" style="159" bestFit="1" customWidth="1"/>
    <col min="3" max="3" width="10.44140625" style="159" bestFit="1" customWidth="1"/>
    <col min="4" max="4" width="7.44140625" style="159" bestFit="1" customWidth="1"/>
    <col min="5" max="5" width="2.5546875" style="159" customWidth="1"/>
    <col min="6" max="17" width="8.88671875" style="159" customWidth="1"/>
    <col min="18" max="18" width="8.44140625" style="159" bestFit="1" customWidth="1"/>
    <col min="19" max="19" width="7.88671875" style="159" bestFit="1" customWidth="1"/>
    <col min="20" max="20" width="7.77734375" style="159" bestFit="1" customWidth="1"/>
    <col min="21" max="21" width="9.44140625" style="159" bestFit="1" customWidth="1"/>
    <col min="22" max="22" width="7.88671875" style="163" bestFit="1" customWidth="1"/>
    <col min="23" max="23" width="9" style="159" bestFit="1" customWidth="1"/>
    <col min="24" max="24" width="8.109375" style="159" bestFit="1" customWidth="1"/>
    <col min="25" max="25" width="9.44140625" style="159" bestFit="1" customWidth="1"/>
    <col min="26" max="26" width="7.77734375" style="159" bestFit="1" customWidth="1"/>
    <col min="27" max="27" width="9.44140625" style="159" bestFit="1" customWidth="1"/>
    <col min="28" max="28" width="7.77734375" style="159" bestFit="1" customWidth="1"/>
    <col min="29" max="29" width="8.88671875" style="159" bestFit="1" customWidth="1"/>
    <col min="30" max="30" width="8.44140625" style="159" bestFit="1" customWidth="1"/>
    <col min="31" max="31" width="9.44140625" style="159" bestFit="1" customWidth="1"/>
    <col min="32" max="32" width="7.88671875" style="159" bestFit="1" customWidth="1"/>
    <col min="33" max="33" width="9" style="159" bestFit="1" customWidth="1"/>
    <col min="34" max="34" width="8.44140625" style="159" bestFit="1" customWidth="1"/>
    <col min="35" max="35" width="7.88671875" style="159" bestFit="1" customWidth="1"/>
    <col min="36" max="36" width="7.77734375" style="159" bestFit="1" customWidth="1"/>
    <col min="37" max="37" width="8.88671875" style="159" bestFit="1" customWidth="1"/>
    <col min="38" max="38" width="7.77734375" style="159" bestFit="1" customWidth="1"/>
    <col min="39" max="39" width="8.88671875" style="159" bestFit="1" customWidth="1"/>
    <col min="40" max="40" width="7.77734375" style="159" bestFit="1" customWidth="1"/>
    <col min="41" max="41" width="8.88671875" style="159" bestFit="1" customWidth="1"/>
    <col min="42" max="42" width="7.77734375" style="159" bestFit="1" customWidth="1"/>
    <col min="43" max="43" width="8.88671875" style="159" bestFit="1" customWidth="1"/>
    <col min="44" max="44" width="7.77734375" style="159" bestFit="1" customWidth="1"/>
    <col min="45" max="45" width="8.88671875" style="159" bestFit="1" customWidth="1"/>
    <col min="46" max="46" width="7.77734375" style="159" bestFit="1" customWidth="1"/>
    <col min="47" max="47" width="8.88671875" style="159" bestFit="1" customWidth="1"/>
    <col min="48" max="48" width="7.77734375" style="159" bestFit="1" customWidth="1"/>
    <col min="49" max="49" width="8.88671875" style="159" bestFit="1" customWidth="1"/>
    <col min="50" max="50" width="7.77734375" style="159" bestFit="1" customWidth="1"/>
    <col min="51" max="51" width="8.88671875" style="159" bestFit="1" customWidth="1"/>
    <col min="52" max="52" width="7.77734375" style="163" customWidth="1"/>
    <col min="53" max="53" width="8.88671875" style="159" bestFit="1" customWidth="1"/>
    <col min="54" max="54" width="7.77734375" style="159" bestFit="1" customWidth="1"/>
    <col min="55" max="55" width="8.88671875" style="159" bestFit="1" customWidth="1"/>
    <col min="56" max="16384" width="8.88671875" style="159"/>
  </cols>
  <sheetData>
    <row r="1" spans="1:55" s="157" customFormat="1" ht="32.25" thickBot="1">
      <c r="A1" s="460"/>
      <c r="B1" s="460"/>
      <c r="C1" s="434" t="s">
        <v>230</v>
      </c>
      <c r="D1" s="434"/>
      <c r="E1" s="434"/>
      <c r="F1" s="434"/>
      <c r="G1" s="434"/>
      <c r="H1" s="434"/>
      <c r="I1" s="434"/>
      <c r="J1" s="434"/>
      <c r="K1" s="434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61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61"/>
      <c r="BA1" s="152"/>
      <c r="BB1" s="152"/>
      <c r="BC1" s="152"/>
    </row>
    <row r="2" spans="1:55" s="157" customFormat="1" ht="24.75" thickBot="1">
      <c r="A2" s="467"/>
      <c r="B2" s="468"/>
      <c r="C2" s="463" t="s">
        <v>0</v>
      </c>
      <c r="D2" s="464"/>
      <c r="E2" s="178"/>
      <c r="F2" s="465" t="s">
        <v>168</v>
      </c>
      <c r="G2" s="46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8"/>
    </row>
    <row r="3" spans="1:55" s="157" customFormat="1" ht="17.25" customHeight="1">
      <c r="A3" s="469"/>
      <c r="B3" s="470"/>
      <c r="C3" s="441" t="s">
        <v>101</v>
      </c>
      <c r="D3" s="442"/>
      <c r="E3" s="178"/>
      <c r="F3" s="443" t="s">
        <v>102</v>
      </c>
      <c r="G3" s="444"/>
      <c r="H3" s="443" t="s">
        <v>1</v>
      </c>
      <c r="I3" s="444"/>
      <c r="J3" s="443" t="s">
        <v>2</v>
      </c>
      <c r="K3" s="444"/>
      <c r="L3" s="443" t="s">
        <v>3</v>
      </c>
      <c r="M3" s="444"/>
      <c r="N3" s="443" t="s">
        <v>4</v>
      </c>
      <c r="O3" s="444"/>
      <c r="P3" s="441" t="s">
        <v>204</v>
      </c>
      <c r="Q3" s="442"/>
      <c r="R3" s="441" t="s">
        <v>205</v>
      </c>
      <c r="S3" s="442"/>
      <c r="T3" s="441" t="s">
        <v>206</v>
      </c>
      <c r="U3" s="442"/>
      <c r="V3" s="441" t="s">
        <v>105</v>
      </c>
      <c r="W3" s="442"/>
      <c r="X3" s="441" t="s">
        <v>109</v>
      </c>
      <c r="Y3" s="442"/>
      <c r="Z3" s="441" t="s">
        <v>111</v>
      </c>
      <c r="AA3" s="442"/>
      <c r="AB3" s="441" t="s">
        <v>110</v>
      </c>
      <c r="AC3" s="442"/>
      <c r="AD3" s="441" t="s">
        <v>207</v>
      </c>
      <c r="AE3" s="442"/>
      <c r="AF3" s="441" t="s">
        <v>107</v>
      </c>
      <c r="AG3" s="442"/>
      <c r="AH3" s="441" t="s">
        <v>103</v>
      </c>
      <c r="AI3" s="442"/>
      <c r="AJ3" s="441" t="s">
        <v>112</v>
      </c>
      <c r="AK3" s="442"/>
      <c r="AL3" s="441" t="s">
        <v>108</v>
      </c>
      <c r="AM3" s="442"/>
      <c r="AN3" s="441" t="s">
        <v>113</v>
      </c>
      <c r="AO3" s="442"/>
      <c r="AP3" s="441" t="s">
        <v>114</v>
      </c>
      <c r="AQ3" s="442"/>
      <c r="AR3" s="441" t="s">
        <v>106</v>
      </c>
      <c r="AS3" s="442"/>
      <c r="AT3" s="443" t="s">
        <v>116</v>
      </c>
      <c r="AU3" s="444"/>
      <c r="AV3" s="443" t="s">
        <v>117</v>
      </c>
      <c r="AW3" s="444"/>
      <c r="AX3" s="441" t="s">
        <v>115</v>
      </c>
      <c r="AY3" s="442"/>
      <c r="AZ3" s="441" t="s">
        <v>104</v>
      </c>
      <c r="BA3" s="442"/>
      <c r="BB3" s="441" t="s">
        <v>118</v>
      </c>
      <c r="BC3" s="442"/>
    </row>
    <row r="4" spans="1:55" s="157" customFormat="1">
      <c r="A4" s="469"/>
      <c r="B4" s="470"/>
      <c r="C4" s="106" t="s">
        <v>8</v>
      </c>
      <c r="D4" s="107" t="s">
        <v>9</v>
      </c>
      <c r="E4" s="178"/>
      <c r="F4" s="106" t="s">
        <v>10</v>
      </c>
      <c r="G4" s="107" t="s">
        <v>9</v>
      </c>
      <c r="H4" s="106" t="s">
        <v>10</v>
      </c>
      <c r="I4" s="107" t="s">
        <v>9</v>
      </c>
      <c r="J4" s="106" t="s">
        <v>119</v>
      </c>
      <c r="K4" s="107" t="s">
        <v>11</v>
      </c>
      <c r="L4" s="106" t="s">
        <v>10</v>
      </c>
      <c r="M4" s="108" t="s">
        <v>11</v>
      </c>
      <c r="N4" s="106" t="s">
        <v>10</v>
      </c>
      <c r="O4" s="107" t="s">
        <v>120</v>
      </c>
      <c r="P4" s="106" t="s">
        <v>12</v>
      </c>
      <c r="Q4" s="107" t="s">
        <v>122</v>
      </c>
      <c r="R4" s="108" t="s">
        <v>10</v>
      </c>
      <c r="S4" s="108" t="s">
        <v>122</v>
      </c>
      <c r="T4" s="106" t="s">
        <v>10</v>
      </c>
      <c r="U4" s="107" t="s">
        <v>11</v>
      </c>
      <c r="V4" s="106" t="s">
        <v>125</v>
      </c>
      <c r="W4" s="108" t="s">
        <v>126</v>
      </c>
      <c r="X4" s="106" t="s">
        <v>127</v>
      </c>
      <c r="Y4" s="107" t="s">
        <v>128</v>
      </c>
      <c r="Z4" s="108" t="s">
        <v>127</v>
      </c>
      <c r="AA4" s="108" t="s">
        <v>128</v>
      </c>
      <c r="AB4" s="106" t="s">
        <v>12</v>
      </c>
      <c r="AC4" s="107" t="s">
        <v>126</v>
      </c>
      <c r="AD4" s="106" t="s">
        <v>10</v>
      </c>
      <c r="AE4" s="107" t="s">
        <v>11</v>
      </c>
      <c r="AF4" s="106" t="s">
        <v>125</v>
      </c>
      <c r="AG4" s="107" t="s">
        <v>126</v>
      </c>
      <c r="AH4" s="109" t="s">
        <v>119</v>
      </c>
      <c r="AI4" s="110" t="s">
        <v>121</v>
      </c>
      <c r="AJ4" s="106" t="s">
        <v>125</v>
      </c>
      <c r="AK4" s="107" t="s">
        <v>126</v>
      </c>
      <c r="AL4" s="106" t="s">
        <v>125</v>
      </c>
      <c r="AM4" s="108" t="s">
        <v>126</v>
      </c>
      <c r="AN4" s="106" t="s">
        <v>125</v>
      </c>
      <c r="AO4" s="107" t="s">
        <v>126</v>
      </c>
      <c r="AP4" s="106" t="s">
        <v>125</v>
      </c>
      <c r="AQ4" s="107" t="s">
        <v>126</v>
      </c>
      <c r="AR4" s="106" t="s">
        <v>125</v>
      </c>
      <c r="AS4" s="107" t="s">
        <v>126</v>
      </c>
      <c r="AT4" s="106" t="s">
        <v>125</v>
      </c>
      <c r="AU4" s="107" t="s">
        <v>126</v>
      </c>
      <c r="AV4" s="106" t="s">
        <v>125</v>
      </c>
      <c r="AW4" s="107" t="s">
        <v>126</v>
      </c>
      <c r="AX4" s="106" t="s">
        <v>125</v>
      </c>
      <c r="AY4" s="107" t="s">
        <v>126</v>
      </c>
      <c r="AZ4" s="106" t="s">
        <v>123</v>
      </c>
      <c r="BA4" s="107" t="s">
        <v>124</v>
      </c>
      <c r="BB4" s="106" t="s">
        <v>125</v>
      </c>
      <c r="BC4" s="107" t="s">
        <v>126</v>
      </c>
    </row>
    <row r="5" spans="1:55" s="157" customFormat="1" ht="14.25" thickBot="1">
      <c r="A5" s="471"/>
      <c r="B5" s="472"/>
      <c r="C5" s="111" t="s">
        <v>14</v>
      </c>
      <c r="D5" s="112" t="s">
        <v>15</v>
      </c>
      <c r="E5" s="178"/>
      <c r="F5" s="113" t="s">
        <v>14</v>
      </c>
      <c r="G5" s="114" t="s">
        <v>15</v>
      </c>
      <c r="H5" s="115" t="s">
        <v>14</v>
      </c>
      <c r="I5" s="116" t="s">
        <v>15</v>
      </c>
      <c r="J5" s="117" t="s">
        <v>14</v>
      </c>
      <c r="K5" s="114" t="s">
        <v>15</v>
      </c>
      <c r="L5" s="115" t="s">
        <v>14</v>
      </c>
      <c r="M5" s="118" t="s">
        <v>15</v>
      </c>
      <c r="N5" s="113" t="s">
        <v>14</v>
      </c>
      <c r="O5" s="114" t="s">
        <v>15</v>
      </c>
      <c r="P5" s="115" t="s">
        <v>14</v>
      </c>
      <c r="Q5" s="116" t="s">
        <v>15</v>
      </c>
      <c r="R5" s="119" t="s">
        <v>14</v>
      </c>
      <c r="S5" s="118" t="s">
        <v>15</v>
      </c>
      <c r="T5" s="113" t="s">
        <v>14</v>
      </c>
      <c r="U5" s="114" t="s">
        <v>15</v>
      </c>
      <c r="V5" s="113" t="s">
        <v>14</v>
      </c>
      <c r="W5" s="119" t="s">
        <v>130</v>
      </c>
      <c r="X5" s="120" t="s">
        <v>129</v>
      </c>
      <c r="Y5" s="116" t="s">
        <v>130</v>
      </c>
      <c r="Z5" s="121" t="s">
        <v>129</v>
      </c>
      <c r="AA5" s="118" t="s">
        <v>130</v>
      </c>
      <c r="AB5" s="113" t="s">
        <v>14</v>
      </c>
      <c r="AC5" s="114" t="s">
        <v>15</v>
      </c>
      <c r="AD5" s="115" t="s">
        <v>14</v>
      </c>
      <c r="AE5" s="116" t="s">
        <v>15</v>
      </c>
      <c r="AF5" s="113" t="s">
        <v>14</v>
      </c>
      <c r="AG5" s="114" t="s">
        <v>130</v>
      </c>
      <c r="AH5" s="106" t="s">
        <v>129</v>
      </c>
      <c r="AI5" s="107" t="s">
        <v>130</v>
      </c>
      <c r="AJ5" s="113" t="s">
        <v>14</v>
      </c>
      <c r="AK5" s="114" t="s">
        <v>130</v>
      </c>
      <c r="AL5" s="113" t="s">
        <v>14</v>
      </c>
      <c r="AM5" s="119" t="s">
        <v>130</v>
      </c>
      <c r="AN5" s="113" t="s">
        <v>14</v>
      </c>
      <c r="AO5" s="114" t="s">
        <v>130</v>
      </c>
      <c r="AP5" s="113" t="s">
        <v>14</v>
      </c>
      <c r="AQ5" s="114" t="s">
        <v>130</v>
      </c>
      <c r="AR5" s="113" t="s">
        <v>14</v>
      </c>
      <c r="AS5" s="114" t="s">
        <v>130</v>
      </c>
      <c r="AT5" s="113" t="s">
        <v>14</v>
      </c>
      <c r="AU5" s="114" t="s">
        <v>130</v>
      </c>
      <c r="AV5" s="113" t="s">
        <v>14</v>
      </c>
      <c r="AW5" s="114" t="s">
        <v>130</v>
      </c>
      <c r="AX5" s="113" t="s">
        <v>14</v>
      </c>
      <c r="AY5" s="114" t="s">
        <v>130</v>
      </c>
      <c r="AZ5" s="113" t="s">
        <v>14</v>
      </c>
      <c r="BA5" s="114" t="s">
        <v>130</v>
      </c>
      <c r="BB5" s="113" t="s">
        <v>14</v>
      </c>
      <c r="BC5" s="114" t="s">
        <v>130</v>
      </c>
    </row>
    <row r="6" spans="1:55" s="157" customFormat="1" ht="13.5" customHeight="1">
      <c r="A6" s="461" t="s">
        <v>131</v>
      </c>
      <c r="B6" s="15" t="s">
        <v>132</v>
      </c>
      <c r="C6" s="3">
        <v>793478</v>
      </c>
      <c r="D6" s="4"/>
      <c r="E6" s="178"/>
      <c r="F6" s="5">
        <v>164785</v>
      </c>
      <c r="G6" s="6"/>
      <c r="H6" s="3">
        <v>186246</v>
      </c>
      <c r="I6" s="4"/>
      <c r="J6" s="5">
        <v>12193</v>
      </c>
      <c r="K6" s="6"/>
      <c r="L6" s="7">
        <v>37006</v>
      </c>
      <c r="M6" s="8"/>
      <c r="N6" s="5">
        <v>102299</v>
      </c>
      <c r="O6" s="6"/>
      <c r="P6" s="3"/>
      <c r="Q6" s="4"/>
      <c r="R6" s="7">
        <v>5677</v>
      </c>
      <c r="S6" s="8"/>
      <c r="T6" s="5">
        <v>30255</v>
      </c>
      <c r="U6" s="6"/>
      <c r="V6" s="10"/>
      <c r="W6" s="6"/>
      <c r="X6" s="13">
        <v>37526</v>
      </c>
      <c r="Y6" s="4"/>
      <c r="Z6" s="12"/>
      <c r="AA6" s="8"/>
      <c r="AB6" s="10"/>
      <c r="AC6" s="6"/>
      <c r="AD6" s="3">
        <v>5892</v>
      </c>
      <c r="AE6" s="4"/>
      <c r="AF6" s="11">
        <v>2562</v>
      </c>
      <c r="AG6" s="6"/>
      <c r="AH6" s="3"/>
      <c r="AI6" s="9"/>
      <c r="AJ6" s="10"/>
      <c r="AK6" s="6"/>
      <c r="AL6" s="12"/>
      <c r="AM6" s="8"/>
      <c r="AN6" s="10"/>
      <c r="AO6" s="8"/>
      <c r="AP6" s="440">
        <f>AP166*0.353</f>
        <v>16885.754999999997</v>
      </c>
      <c r="AQ6" s="421"/>
      <c r="AR6" s="7"/>
      <c r="AS6" s="8"/>
      <c r="AT6" s="10"/>
      <c r="AU6" s="6"/>
      <c r="AV6" s="10"/>
      <c r="AW6" s="6"/>
      <c r="AX6" s="7"/>
      <c r="AY6" s="8"/>
      <c r="AZ6" s="10"/>
      <c r="BA6" s="6"/>
      <c r="BB6" s="245"/>
      <c r="BC6" s="246"/>
    </row>
    <row r="7" spans="1:55" s="157" customFormat="1" ht="13.5" customHeight="1">
      <c r="A7" s="461"/>
      <c r="B7" s="15" t="s">
        <v>133</v>
      </c>
      <c r="C7" s="3">
        <v>670447</v>
      </c>
      <c r="D7" s="4"/>
      <c r="E7" s="178"/>
      <c r="F7" s="5">
        <v>142718</v>
      </c>
      <c r="G7" s="6"/>
      <c r="H7" s="3">
        <v>215373</v>
      </c>
      <c r="I7" s="4"/>
      <c r="J7" s="5">
        <v>13916</v>
      </c>
      <c r="K7" s="6"/>
      <c r="L7" s="7">
        <v>37513</v>
      </c>
      <c r="M7" s="8"/>
      <c r="N7" s="5">
        <v>59455</v>
      </c>
      <c r="O7" s="6"/>
      <c r="P7" s="3"/>
      <c r="Q7" s="4"/>
      <c r="R7" s="7">
        <v>3770</v>
      </c>
      <c r="S7" s="8"/>
      <c r="T7" s="5">
        <v>29835</v>
      </c>
      <c r="U7" s="6"/>
      <c r="V7" s="10"/>
      <c r="W7" s="6"/>
      <c r="X7" s="13">
        <v>32196</v>
      </c>
      <c r="Y7" s="4"/>
      <c r="Z7" s="12"/>
      <c r="AA7" s="8"/>
      <c r="AB7" s="10"/>
      <c r="AC7" s="6"/>
      <c r="AD7" s="3">
        <v>6901</v>
      </c>
      <c r="AE7" s="4"/>
      <c r="AF7" s="11">
        <v>2234</v>
      </c>
      <c r="AG7" s="6"/>
      <c r="AH7" s="3"/>
      <c r="AI7" s="9"/>
      <c r="AJ7" s="16"/>
      <c r="AK7" s="17"/>
      <c r="AL7" s="12"/>
      <c r="AM7" s="8"/>
      <c r="AN7" s="10"/>
      <c r="AO7" s="8"/>
      <c r="AP7" s="426"/>
      <c r="AQ7" s="422"/>
      <c r="AR7" s="7"/>
      <c r="AS7" s="8"/>
      <c r="AT7" s="10"/>
      <c r="AU7" s="6"/>
      <c r="AV7" s="10"/>
      <c r="AW7" s="6"/>
      <c r="AX7" s="7"/>
      <c r="AY7" s="8"/>
      <c r="AZ7" s="16"/>
      <c r="BA7" s="17"/>
      <c r="BB7" s="10"/>
      <c r="BC7" s="6"/>
    </row>
    <row r="8" spans="1:55" s="157" customFormat="1" ht="13.5" customHeight="1">
      <c r="A8" s="461"/>
      <c r="B8" s="15" t="s">
        <v>21</v>
      </c>
      <c r="C8" s="3">
        <v>587629</v>
      </c>
      <c r="D8" s="4"/>
      <c r="E8" s="178"/>
      <c r="F8" s="5">
        <v>112516</v>
      </c>
      <c r="G8" s="6"/>
      <c r="H8" s="3">
        <v>190382</v>
      </c>
      <c r="I8" s="4"/>
      <c r="J8" s="5">
        <v>12077</v>
      </c>
      <c r="K8" s="6"/>
      <c r="L8" s="7">
        <v>37622</v>
      </c>
      <c r="M8" s="8"/>
      <c r="N8" s="5">
        <v>47499</v>
      </c>
      <c r="O8" s="6"/>
      <c r="P8" s="3"/>
      <c r="Q8" s="4"/>
      <c r="R8" s="7">
        <v>3098</v>
      </c>
      <c r="S8" s="8"/>
      <c r="T8" s="5">
        <v>25853</v>
      </c>
      <c r="U8" s="6"/>
      <c r="V8" s="10"/>
      <c r="W8" s="6"/>
      <c r="X8" s="13">
        <v>25858</v>
      </c>
      <c r="Y8" s="4"/>
      <c r="Z8" s="12"/>
      <c r="AA8" s="8"/>
      <c r="AB8" s="10"/>
      <c r="AC8" s="6"/>
      <c r="AD8" s="3">
        <v>3394</v>
      </c>
      <c r="AE8" s="4"/>
      <c r="AF8" s="11">
        <v>1710</v>
      </c>
      <c r="AG8" s="6"/>
      <c r="AH8" s="3"/>
      <c r="AI8" s="9"/>
      <c r="AJ8" s="16"/>
      <c r="AK8" s="17"/>
      <c r="AL8" s="12"/>
      <c r="AM8" s="8"/>
      <c r="AN8" s="10"/>
      <c r="AO8" s="8"/>
      <c r="AP8" s="426"/>
      <c r="AQ8" s="422"/>
      <c r="AR8" s="7"/>
      <c r="AS8" s="8"/>
      <c r="AT8" s="10"/>
      <c r="AU8" s="6"/>
      <c r="AV8" s="10"/>
      <c r="AW8" s="6"/>
      <c r="AX8" s="7"/>
      <c r="AY8" s="8"/>
      <c r="AZ8" s="16"/>
      <c r="BA8" s="17"/>
      <c r="BB8" s="10"/>
      <c r="BC8" s="6"/>
    </row>
    <row r="9" spans="1:55" s="157" customFormat="1" ht="13.5" customHeight="1">
      <c r="A9" s="461"/>
      <c r="B9" s="15" t="s">
        <v>22</v>
      </c>
      <c r="C9" s="3">
        <v>642413</v>
      </c>
      <c r="D9" s="4"/>
      <c r="E9" s="178"/>
      <c r="F9" s="5">
        <v>120427</v>
      </c>
      <c r="G9" s="6"/>
      <c r="H9" s="3">
        <v>223062</v>
      </c>
      <c r="I9" s="4"/>
      <c r="J9" s="5">
        <v>12802</v>
      </c>
      <c r="K9" s="6"/>
      <c r="L9" s="7">
        <v>44722</v>
      </c>
      <c r="M9" s="8"/>
      <c r="N9" s="5">
        <v>58876</v>
      </c>
      <c r="O9" s="6"/>
      <c r="P9" s="3"/>
      <c r="Q9" s="4"/>
      <c r="R9" s="7">
        <v>4163</v>
      </c>
      <c r="S9" s="8"/>
      <c r="T9" s="5">
        <v>26705</v>
      </c>
      <c r="U9" s="6"/>
      <c r="V9" s="10"/>
      <c r="W9" s="6"/>
      <c r="X9" s="13">
        <v>26749</v>
      </c>
      <c r="Y9" s="4"/>
      <c r="Z9" s="12"/>
      <c r="AA9" s="8"/>
      <c r="AB9" s="10"/>
      <c r="AC9" s="6"/>
      <c r="AD9" s="3">
        <v>3278</v>
      </c>
      <c r="AE9" s="4"/>
      <c r="AF9" s="11">
        <v>1464</v>
      </c>
      <c r="AG9" s="6"/>
      <c r="AH9" s="3"/>
      <c r="AI9" s="9"/>
      <c r="AJ9" s="16"/>
      <c r="AK9" s="17"/>
      <c r="AL9" s="12"/>
      <c r="AM9" s="8"/>
      <c r="AN9" s="10"/>
      <c r="AO9" s="8"/>
      <c r="AP9" s="426"/>
      <c r="AQ9" s="422"/>
      <c r="AR9" s="7"/>
      <c r="AS9" s="8"/>
      <c r="AT9" s="10"/>
      <c r="AU9" s="6"/>
      <c r="AV9" s="10"/>
      <c r="AW9" s="6"/>
      <c r="AX9" s="7"/>
      <c r="AY9" s="8"/>
      <c r="AZ9" s="16"/>
      <c r="BA9" s="17"/>
      <c r="BB9" s="10"/>
      <c r="BC9" s="6"/>
    </row>
    <row r="10" spans="1:55" s="157" customFormat="1" ht="13.5" customHeight="1">
      <c r="A10" s="461"/>
      <c r="B10" s="15" t="s">
        <v>23</v>
      </c>
      <c r="C10" s="3">
        <v>680185</v>
      </c>
      <c r="D10" s="4"/>
      <c r="E10" s="178"/>
      <c r="F10" s="5">
        <v>115659</v>
      </c>
      <c r="G10" s="6"/>
      <c r="H10" s="3">
        <v>202592</v>
      </c>
      <c r="I10" s="4"/>
      <c r="J10" s="5">
        <v>11188</v>
      </c>
      <c r="K10" s="6"/>
      <c r="L10" s="7">
        <v>38076</v>
      </c>
      <c r="M10" s="8" t="s">
        <v>134</v>
      </c>
      <c r="N10" s="5">
        <v>71516</v>
      </c>
      <c r="O10" s="6"/>
      <c r="P10" s="3"/>
      <c r="Q10" s="4"/>
      <c r="R10" s="7">
        <v>3729</v>
      </c>
      <c r="S10" s="8"/>
      <c r="T10" s="5">
        <v>31469</v>
      </c>
      <c r="U10" s="6"/>
      <c r="V10" s="10"/>
      <c r="W10" s="6"/>
      <c r="X10" s="13">
        <v>29353</v>
      </c>
      <c r="Y10" s="4"/>
      <c r="Z10" s="12"/>
      <c r="AA10" s="8"/>
      <c r="AB10" s="10"/>
      <c r="AC10" s="6"/>
      <c r="AD10" s="3">
        <v>6121</v>
      </c>
      <c r="AE10" s="4"/>
      <c r="AF10" s="11">
        <v>1175</v>
      </c>
      <c r="AG10" s="6"/>
      <c r="AH10" s="3"/>
      <c r="AI10" s="9"/>
      <c r="AJ10" s="16"/>
      <c r="AK10" s="17"/>
      <c r="AL10" s="12"/>
      <c r="AM10" s="8"/>
      <c r="AN10" s="10"/>
      <c r="AO10" s="8"/>
      <c r="AP10" s="426"/>
      <c r="AQ10" s="422"/>
      <c r="AR10" s="7"/>
      <c r="AS10" s="8"/>
      <c r="AT10" s="10"/>
      <c r="AU10" s="6"/>
      <c r="AV10" s="10"/>
      <c r="AW10" s="6"/>
      <c r="AX10" s="7"/>
      <c r="AY10" s="8"/>
      <c r="AZ10" s="16"/>
      <c r="BA10" s="17"/>
      <c r="BB10" s="10"/>
      <c r="BC10" s="6"/>
    </row>
    <row r="11" spans="1:55" s="157" customFormat="1" ht="13.5" customHeight="1">
      <c r="A11" s="461"/>
      <c r="B11" s="15" t="s">
        <v>24</v>
      </c>
      <c r="C11" s="3">
        <v>712260</v>
      </c>
      <c r="D11" s="4"/>
      <c r="E11" s="178"/>
      <c r="F11" s="5">
        <v>116269</v>
      </c>
      <c r="G11" s="6"/>
      <c r="H11" s="3">
        <v>227553</v>
      </c>
      <c r="I11" s="4"/>
      <c r="J11" s="5">
        <v>12724</v>
      </c>
      <c r="K11" s="6"/>
      <c r="L11" s="7">
        <v>41469</v>
      </c>
      <c r="M11" s="8"/>
      <c r="N11" s="5">
        <v>70418</v>
      </c>
      <c r="O11" s="6"/>
      <c r="P11" s="3"/>
      <c r="Q11" s="4"/>
      <c r="R11" s="7">
        <v>4082</v>
      </c>
      <c r="S11" s="8"/>
      <c r="T11" s="5">
        <v>29905</v>
      </c>
      <c r="U11" s="6"/>
      <c r="V11" s="10"/>
      <c r="W11" s="6"/>
      <c r="X11" s="13">
        <v>27389</v>
      </c>
      <c r="Y11" s="4"/>
      <c r="Z11" s="12"/>
      <c r="AA11" s="8"/>
      <c r="AB11" s="10"/>
      <c r="AC11" s="6"/>
      <c r="AD11" s="3">
        <v>7470</v>
      </c>
      <c r="AE11" s="4"/>
      <c r="AF11" s="11">
        <v>1297</v>
      </c>
      <c r="AG11" s="6"/>
      <c r="AH11" s="3"/>
      <c r="AI11" s="9"/>
      <c r="AJ11" s="16"/>
      <c r="AK11" s="17"/>
      <c r="AL11" s="12"/>
      <c r="AM11" s="8"/>
      <c r="AN11" s="10"/>
      <c r="AO11" s="8"/>
      <c r="AP11" s="426"/>
      <c r="AQ11" s="422"/>
      <c r="AR11" s="7"/>
      <c r="AS11" s="8"/>
      <c r="AT11" s="10"/>
      <c r="AU11" s="6"/>
      <c r="AV11" s="10"/>
      <c r="AW11" s="6"/>
      <c r="AX11" s="7"/>
      <c r="AY11" s="8"/>
      <c r="AZ11" s="16"/>
      <c r="BA11" s="17"/>
      <c r="BB11" s="10"/>
      <c r="BC11" s="6"/>
    </row>
    <row r="12" spans="1:55" s="157" customFormat="1" ht="13.5" customHeight="1">
      <c r="A12" s="461"/>
      <c r="B12" s="15" t="s">
        <v>25</v>
      </c>
      <c r="C12" s="3">
        <v>897234</v>
      </c>
      <c r="D12" s="4"/>
      <c r="E12" s="178"/>
      <c r="F12" s="5">
        <v>160770</v>
      </c>
      <c r="G12" s="6"/>
      <c r="H12" s="3">
        <v>284034</v>
      </c>
      <c r="I12" s="4"/>
      <c r="J12" s="5">
        <v>11197</v>
      </c>
      <c r="K12" s="6"/>
      <c r="L12" s="7">
        <v>49663</v>
      </c>
      <c r="M12" s="8"/>
      <c r="N12" s="5">
        <v>74736</v>
      </c>
      <c r="O12" s="6"/>
      <c r="P12" s="3"/>
      <c r="Q12" s="4"/>
      <c r="R12" s="7">
        <v>5738</v>
      </c>
      <c r="S12" s="8"/>
      <c r="T12" s="5">
        <v>35560</v>
      </c>
      <c r="U12" s="6"/>
      <c r="V12" s="10"/>
      <c r="W12" s="6"/>
      <c r="X12" s="13">
        <v>31148</v>
      </c>
      <c r="Y12" s="4"/>
      <c r="Z12" s="12"/>
      <c r="AA12" s="8"/>
      <c r="AB12" s="10"/>
      <c r="AC12" s="6"/>
      <c r="AD12" s="3">
        <v>6631</v>
      </c>
      <c r="AE12" s="4"/>
      <c r="AF12" s="11">
        <v>1269</v>
      </c>
      <c r="AG12" s="6"/>
      <c r="AH12" s="3"/>
      <c r="AI12" s="9"/>
      <c r="AJ12" s="16"/>
      <c r="AK12" s="17"/>
      <c r="AL12" s="12"/>
      <c r="AM12" s="8"/>
      <c r="AN12" s="10"/>
      <c r="AO12" s="8"/>
      <c r="AP12" s="440"/>
      <c r="AQ12" s="421"/>
      <c r="AR12" s="7"/>
      <c r="AS12" s="8"/>
      <c r="AT12" s="10"/>
      <c r="AU12" s="6"/>
      <c r="AV12" s="10"/>
      <c r="AW12" s="6"/>
      <c r="AX12" s="7"/>
      <c r="AY12" s="8"/>
      <c r="AZ12" s="16"/>
      <c r="BA12" s="17"/>
      <c r="BB12" s="10"/>
      <c r="BC12" s="6"/>
    </row>
    <row r="13" spans="1:55" s="157" customFormat="1" ht="13.5" customHeight="1">
      <c r="A13" s="461"/>
      <c r="B13" s="15" t="s">
        <v>26</v>
      </c>
      <c r="C13" s="3">
        <v>930573</v>
      </c>
      <c r="D13" s="4"/>
      <c r="E13" s="178"/>
      <c r="F13" s="5">
        <v>170182</v>
      </c>
      <c r="G13" s="6"/>
      <c r="H13" s="3">
        <v>334568</v>
      </c>
      <c r="I13" s="4"/>
      <c r="J13" s="5">
        <v>11628</v>
      </c>
      <c r="K13" s="6"/>
      <c r="L13" s="7">
        <v>52703</v>
      </c>
      <c r="M13" s="8"/>
      <c r="N13" s="5">
        <v>89965</v>
      </c>
      <c r="O13" s="6"/>
      <c r="P13" s="3"/>
      <c r="Q13" s="4"/>
      <c r="R13" s="7">
        <v>7230</v>
      </c>
      <c r="S13" s="8"/>
      <c r="T13" s="5">
        <v>38530</v>
      </c>
      <c r="U13" s="6"/>
      <c r="V13" s="10"/>
      <c r="W13" s="6"/>
      <c r="X13" s="13">
        <v>35341</v>
      </c>
      <c r="Y13" s="4"/>
      <c r="Z13" s="12"/>
      <c r="AA13" s="8"/>
      <c r="AB13" s="10"/>
      <c r="AC13" s="6"/>
      <c r="AD13" s="3">
        <v>9456</v>
      </c>
      <c r="AE13" s="4"/>
      <c r="AF13" s="11">
        <v>2952</v>
      </c>
      <c r="AG13" s="6"/>
      <c r="AH13" s="3"/>
      <c r="AI13" s="9"/>
      <c r="AJ13" s="16"/>
      <c r="AK13" s="17"/>
      <c r="AL13" s="12"/>
      <c r="AM13" s="8"/>
      <c r="AN13" s="10"/>
      <c r="AO13" s="8"/>
      <c r="AP13" s="426"/>
      <c r="AQ13" s="422"/>
      <c r="AR13" s="7"/>
      <c r="AS13" s="8"/>
      <c r="AT13" s="10"/>
      <c r="AU13" s="6"/>
      <c r="AV13" s="10"/>
      <c r="AW13" s="6"/>
      <c r="AX13" s="7"/>
      <c r="AY13" s="8"/>
      <c r="AZ13" s="16"/>
      <c r="BA13" s="17"/>
      <c r="BB13" s="10"/>
      <c r="BC13" s="6"/>
    </row>
    <row r="14" spans="1:55" s="157" customFormat="1" ht="13.5" customHeight="1">
      <c r="A14" s="461"/>
      <c r="B14" s="15" t="s">
        <v>27</v>
      </c>
      <c r="C14" s="3">
        <v>682244</v>
      </c>
      <c r="D14" s="4"/>
      <c r="E14" s="178"/>
      <c r="F14" s="5">
        <v>113083</v>
      </c>
      <c r="G14" s="6"/>
      <c r="H14" s="3">
        <v>239549</v>
      </c>
      <c r="I14" s="4"/>
      <c r="J14" s="5">
        <v>11686</v>
      </c>
      <c r="K14" s="6"/>
      <c r="L14" s="7">
        <v>44670</v>
      </c>
      <c r="M14" s="8"/>
      <c r="N14" s="5">
        <v>65546</v>
      </c>
      <c r="O14" s="6"/>
      <c r="P14" s="3"/>
      <c r="Q14" s="4"/>
      <c r="R14" s="7">
        <v>6322</v>
      </c>
      <c r="S14" s="8"/>
      <c r="T14" s="5">
        <v>25956</v>
      </c>
      <c r="U14" s="6"/>
      <c r="V14" s="10"/>
      <c r="W14" s="6"/>
      <c r="X14" s="13">
        <v>26187</v>
      </c>
      <c r="Y14" s="4"/>
      <c r="Z14" s="12"/>
      <c r="AA14" s="8"/>
      <c r="AB14" s="10"/>
      <c r="AC14" s="6"/>
      <c r="AD14" s="3">
        <v>11996</v>
      </c>
      <c r="AE14" s="4"/>
      <c r="AF14" s="11">
        <v>846</v>
      </c>
      <c r="AG14" s="6"/>
      <c r="AH14" s="3"/>
      <c r="AI14" s="9"/>
      <c r="AJ14" s="16"/>
      <c r="AK14" s="17"/>
      <c r="AL14" s="12"/>
      <c r="AM14" s="8"/>
      <c r="AN14" s="10"/>
      <c r="AO14" s="8"/>
      <c r="AP14" s="426"/>
      <c r="AQ14" s="422"/>
      <c r="AR14" s="7"/>
      <c r="AS14" s="8"/>
      <c r="AT14" s="10"/>
      <c r="AU14" s="6"/>
      <c r="AV14" s="10"/>
      <c r="AW14" s="6"/>
      <c r="AX14" s="7"/>
      <c r="AY14" s="8"/>
      <c r="AZ14" s="16"/>
      <c r="BA14" s="17"/>
      <c r="BB14" s="10"/>
      <c r="BC14" s="6"/>
    </row>
    <row r="15" spans="1:55" s="157" customFormat="1" ht="13.5" customHeight="1">
      <c r="A15" s="461"/>
      <c r="B15" s="15" t="s">
        <v>28</v>
      </c>
      <c r="C15" s="3">
        <v>757538</v>
      </c>
      <c r="D15" s="4"/>
      <c r="E15" s="178"/>
      <c r="F15" s="5">
        <v>122877</v>
      </c>
      <c r="G15" s="6"/>
      <c r="H15" s="3">
        <v>272800</v>
      </c>
      <c r="I15" s="4"/>
      <c r="J15" s="5">
        <v>11811</v>
      </c>
      <c r="K15" s="6"/>
      <c r="L15" s="7">
        <v>48786</v>
      </c>
      <c r="M15" s="8"/>
      <c r="N15" s="5">
        <v>77567</v>
      </c>
      <c r="O15" s="6"/>
      <c r="P15" s="3"/>
      <c r="Q15" s="4"/>
      <c r="R15" s="7">
        <v>6688</v>
      </c>
      <c r="S15" s="8"/>
      <c r="T15" s="5">
        <v>26935</v>
      </c>
      <c r="U15" s="6"/>
      <c r="V15" s="10"/>
      <c r="W15" s="6"/>
      <c r="X15" s="13">
        <v>29445</v>
      </c>
      <c r="Y15" s="4"/>
      <c r="Z15" s="12"/>
      <c r="AA15" s="8"/>
      <c r="AB15" s="10"/>
      <c r="AC15" s="6"/>
      <c r="AD15" s="3">
        <v>10403</v>
      </c>
      <c r="AE15" s="4"/>
      <c r="AF15" s="11">
        <v>1427</v>
      </c>
      <c r="AG15" s="6"/>
      <c r="AH15" s="3"/>
      <c r="AI15" s="9"/>
      <c r="AJ15" s="16"/>
      <c r="AK15" s="17"/>
      <c r="AL15" s="12"/>
      <c r="AM15" s="8"/>
      <c r="AN15" s="10"/>
      <c r="AO15" s="8"/>
      <c r="AP15" s="426">
        <f>AP166*0.272</f>
        <v>13011.12</v>
      </c>
      <c r="AQ15" s="422"/>
      <c r="AR15" s="7"/>
      <c r="AS15" s="8"/>
      <c r="AT15" s="10"/>
      <c r="AU15" s="6"/>
      <c r="AV15" s="10"/>
      <c r="AW15" s="6"/>
      <c r="AX15" s="7"/>
      <c r="AY15" s="8"/>
      <c r="AZ15" s="16"/>
      <c r="BA15" s="17"/>
      <c r="BB15" s="10"/>
      <c r="BC15" s="6"/>
    </row>
    <row r="16" spans="1:55" s="157" customFormat="1" ht="13.5" customHeight="1">
      <c r="A16" s="461"/>
      <c r="B16" s="15" t="s">
        <v>29</v>
      </c>
      <c r="C16" s="3">
        <v>745887</v>
      </c>
      <c r="D16" s="4"/>
      <c r="E16" s="178"/>
      <c r="F16" s="5">
        <v>128369</v>
      </c>
      <c r="G16" s="6"/>
      <c r="H16" s="3">
        <v>243734</v>
      </c>
      <c r="I16" s="4"/>
      <c r="J16" s="5">
        <v>13879</v>
      </c>
      <c r="K16" s="6"/>
      <c r="L16" s="7">
        <v>55822</v>
      </c>
      <c r="M16" s="8"/>
      <c r="N16" s="5">
        <v>103051</v>
      </c>
      <c r="O16" s="6"/>
      <c r="P16" s="3"/>
      <c r="Q16" s="4"/>
      <c r="R16" s="7">
        <v>7453</v>
      </c>
      <c r="S16" s="8"/>
      <c r="T16" s="5">
        <v>31623</v>
      </c>
      <c r="U16" s="6"/>
      <c r="V16" s="10"/>
      <c r="W16" s="6"/>
      <c r="X16" s="13">
        <v>39294</v>
      </c>
      <c r="Y16" s="4"/>
      <c r="Z16" s="12"/>
      <c r="AA16" s="8"/>
      <c r="AB16" s="10"/>
      <c r="AC16" s="6"/>
      <c r="AD16" s="3">
        <v>8982</v>
      </c>
      <c r="AE16" s="4"/>
      <c r="AF16" s="11">
        <v>838</v>
      </c>
      <c r="AG16" s="6"/>
      <c r="AH16" s="3"/>
      <c r="AI16" s="9"/>
      <c r="AJ16" s="16"/>
      <c r="AK16" s="17"/>
      <c r="AL16" s="12"/>
      <c r="AM16" s="8"/>
      <c r="AN16" s="10"/>
      <c r="AO16" s="8"/>
      <c r="AP16" s="426"/>
      <c r="AQ16" s="422"/>
      <c r="AR16" s="7"/>
      <c r="AS16" s="8"/>
      <c r="AT16" s="10"/>
      <c r="AU16" s="6"/>
      <c r="AV16" s="10"/>
      <c r="AW16" s="6"/>
      <c r="AX16" s="7"/>
      <c r="AY16" s="8"/>
      <c r="AZ16" s="16"/>
      <c r="BA16" s="17"/>
      <c r="BB16" s="10"/>
      <c r="BC16" s="6"/>
    </row>
    <row r="17" spans="1:55" s="157" customFormat="1" ht="13.5" customHeight="1">
      <c r="A17" s="462"/>
      <c r="B17" s="15" t="s">
        <v>30</v>
      </c>
      <c r="C17" s="3">
        <v>725697</v>
      </c>
      <c r="D17" s="4"/>
      <c r="E17" s="178"/>
      <c r="F17" s="5">
        <v>120817</v>
      </c>
      <c r="G17" s="6"/>
      <c r="H17" s="3">
        <v>225000</v>
      </c>
      <c r="I17" s="4"/>
      <c r="J17" s="5">
        <v>12994</v>
      </c>
      <c r="K17" s="6"/>
      <c r="L17" s="7">
        <v>51138</v>
      </c>
      <c r="M17" s="8"/>
      <c r="N17" s="5">
        <v>89963</v>
      </c>
      <c r="O17" s="6"/>
      <c r="P17" s="3"/>
      <c r="Q17" s="4"/>
      <c r="R17" s="7">
        <v>7681</v>
      </c>
      <c r="S17" s="8"/>
      <c r="T17" s="5">
        <v>28244</v>
      </c>
      <c r="U17" s="6"/>
      <c r="V17" s="10"/>
      <c r="W17" s="6"/>
      <c r="X17" s="13">
        <v>38116</v>
      </c>
      <c r="Y17" s="4"/>
      <c r="Z17" s="12"/>
      <c r="AA17" s="8"/>
      <c r="AB17" s="10"/>
      <c r="AC17" s="6"/>
      <c r="AD17" s="3">
        <v>10746</v>
      </c>
      <c r="AE17" s="4"/>
      <c r="AF17" s="11">
        <v>729</v>
      </c>
      <c r="AG17" s="6"/>
      <c r="AH17" s="18"/>
      <c r="AI17" s="19"/>
      <c r="AJ17" s="20"/>
      <c r="AK17" s="21"/>
      <c r="AL17" s="236"/>
      <c r="AM17" s="1"/>
      <c r="AN17" s="10"/>
      <c r="AO17" s="8"/>
      <c r="AP17" s="426"/>
      <c r="AQ17" s="422"/>
      <c r="AR17" s="22"/>
      <c r="AS17" s="8"/>
      <c r="AT17" s="10"/>
      <c r="AU17" s="6"/>
      <c r="AV17" s="10"/>
      <c r="AW17" s="6"/>
      <c r="AX17" s="7"/>
      <c r="AY17" s="8"/>
      <c r="AZ17" s="20"/>
      <c r="BA17" s="21"/>
      <c r="BB17" s="10"/>
      <c r="BC17" s="6"/>
    </row>
    <row r="18" spans="1:55" s="157" customFormat="1" ht="13.5" customHeight="1">
      <c r="A18" s="457" t="s">
        <v>135</v>
      </c>
      <c r="B18" s="2" t="s">
        <v>132</v>
      </c>
      <c r="C18" s="23">
        <v>897406</v>
      </c>
      <c r="D18" s="24">
        <f t="shared" ref="D18:D43" si="0">(C18-C6)/C6</f>
        <v>0.13097779648585089</v>
      </c>
      <c r="E18" s="178"/>
      <c r="F18" s="25">
        <v>174775</v>
      </c>
      <c r="G18" s="26">
        <f t="shared" ref="G18:G49" si="1">(F18-F6)/F6</f>
        <v>6.0624450040962466E-2</v>
      </c>
      <c r="H18" s="23">
        <v>301458</v>
      </c>
      <c r="I18" s="24">
        <f t="shared" ref="I18:I53" si="2">(H18-H6)/H6</f>
        <v>0.61860120485809089</v>
      </c>
      <c r="J18" s="25">
        <v>19213</v>
      </c>
      <c r="K18" s="26">
        <f t="shared" ref="K18:K56" si="3">(J18-J6)/J6</f>
        <v>0.57574017879110961</v>
      </c>
      <c r="L18" s="27">
        <v>53643</v>
      </c>
      <c r="M18" s="28">
        <f t="shared" ref="M18:M54" si="4">(L18-L6)/L6</f>
        <v>0.44957574447386911</v>
      </c>
      <c r="N18" s="25">
        <v>52732</v>
      </c>
      <c r="O18" s="26">
        <f t="shared" ref="O18:O49" si="5">(N18-N6)/N6</f>
        <v>-0.48453064057322165</v>
      </c>
      <c r="P18" s="23">
        <v>25326</v>
      </c>
      <c r="Q18" s="24"/>
      <c r="R18" s="27">
        <v>12988</v>
      </c>
      <c r="S18" s="28">
        <f t="shared" ref="S18:S55" si="6">(R18-R6)/R6</f>
        <v>1.2878280782103224</v>
      </c>
      <c r="T18" s="25">
        <v>20390</v>
      </c>
      <c r="U18" s="26">
        <f t="shared" ref="U18:U53" si="7">(T18-T6)/T6</f>
        <v>-0.32606180796562551</v>
      </c>
      <c r="V18" s="31"/>
      <c r="W18" s="32"/>
      <c r="X18" s="33">
        <v>45130</v>
      </c>
      <c r="Y18" s="24">
        <f t="shared" ref="Y18:Y49" si="8">X18/X6-1</f>
        <v>0.20263284123008041</v>
      </c>
      <c r="Z18" s="32"/>
      <c r="AA18" s="28"/>
      <c r="AB18" s="25">
        <v>15726</v>
      </c>
      <c r="AC18" s="26">
        <v>-0.48669908933642325</v>
      </c>
      <c r="AD18" s="23">
        <v>11461</v>
      </c>
      <c r="AE18" s="24">
        <f t="shared" ref="AE18:AE53" si="9">(AD18-AD6)/AD6</f>
        <v>0.94517990495587234</v>
      </c>
      <c r="AF18" s="33">
        <v>3280</v>
      </c>
      <c r="AG18" s="26">
        <f>(AF18-AF6)/AF6</f>
        <v>0.28024980483996875</v>
      </c>
      <c r="AH18" s="3"/>
      <c r="AI18" s="9"/>
      <c r="AJ18" s="31"/>
      <c r="AK18" s="34"/>
      <c r="AL18" s="242"/>
      <c r="AM18" s="32"/>
      <c r="AN18" s="33"/>
      <c r="AO18" s="30"/>
      <c r="AP18" s="440">
        <f>AP167*0.293</f>
        <v>14619.234999999999</v>
      </c>
      <c r="AQ18" s="455">
        <f>(AP18/AP6-1)</f>
        <v>-0.13422674911486032</v>
      </c>
      <c r="AR18" s="3">
        <v>0</v>
      </c>
      <c r="AS18" s="30"/>
      <c r="AT18" s="35"/>
      <c r="AU18" s="30"/>
      <c r="AV18" s="440">
        <v>8706</v>
      </c>
      <c r="AW18" s="182"/>
      <c r="AX18" s="33"/>
      <c r="AY18" s="30"/>
      <c r="AZ18" s="29"/>
      <c r="BA18" s="30"/>
      <c r="BB18" s="234"/>
      <c r="BC18" s="30"/>
    </row>
    <row r="19" spans="1:55" s="157" customFormat="1" ht="13.5" customHeight="1">
      <c r="A19" s="461"/>
      <c r="B19" s="15" t="s">
        <v>133</v>
      </c>
      <c r="C19" s="3">
        <v>745998</v>
      </c>
      <c r="D19" s="9">
        <f t="shared" si="0"/>
        <v>0.1126875055000619</v>
      </c>
      <c r="E19" s="178"/>
      <c r="F19" s="5">
        <v>148946</v>
      </c>
      <c r="G19" s="36">
        <f t="shared" si="1"/>
        <v>4.3638503902801329E-2</v>
      </c>
      <c r="H19" s="3">
        <v>263822</v>
      </c>
      <c r="I19" s="9">
        <f t="shared" si="2"/>
        <v>0.22495391715767529</v>
      </c>
      <c r="J19" s="5">
        <v>15695</v>
      </c>
      <c r="K19" s="36">
        <f t="shared" si="3"/>
        <v>0.12783845932739293</v>
      </c>
      <c r="L19" s="7">
        <v>46151</v>
      </c>
      <c r="M19" s="37">
        <f t="shared" si="4"/>
        <v>0.23026684082851279</v>
      </c>
      <c r="N19" s="5">
        <v>54819</v>
      </c>
      <c r="O19" s="36">
        <f t="shared" si="5"/>
        <v>-7.7974939029518117E-2</v>
      </c>
      <c r="P19" s="3">
        <v>26261</v>
      </c>
      <c r="Q19" s="9"/>
      <c r="R19" s="7">
        <v>9682</v>
      </c>
      <c r="S19" s="37">
        <f t="shared" si="6"/>
        <v>1.5681697612732095</v>
      </c>
      <c r="T19" s="5">
        <v>24546</v>
      </c>
      <c r="U19" s="36">
        <f t="shared" si="7"/>
        <v>-0.17727501256913022</v>
      </c>
      <c r="V19" s="11"/>
      <c r="W19" s="12"/>
      <c r="X19" s="13">
        <v>35883</v>
      </c>
      <c r="Y19" s="9">
        <f t="shared" si="8"/>
        <v>0.11451733134550879</v>
      </c>
      <c r="Z19" s="12"/>
      <c r="AA19" s="37"/>
      <c r="AB19" s="5">
        <v>19555</v>
      </c>
      <c r="AC19" s="36">
        <v>-0.12521248993468731</v>
      </c>
      <c r="AD19" s="3">
        <v>12450</v>
      </c>
      <c r="AE19" s="9">
        <f t="shared" si="9"/>
        <v>0.80408636429502967</v>
      </c>
      <c r="AF19" s="13">
        <v>3249</v>
      </c>
      <c r="AG19" s="36">
        <f t="shared" ref="AG19:AG29" si="10">(AF19-AF7)/AF7</f>
        <v>0.45434198746642795</v>
      </c>
      <c r="AH19" s="3"/>
      <c r="AI19" s="9"/>
      <c r="AJ19" s="11"/>
      <c r="AK19" s="40"/>
      <c r="AL19" s="236"/>
      <c r="AM19" s="12"/>
      <c r="AN19" s="13"/>
      <c r="AO19" s="39"/>
      <c r="AP19" s="426"/>
      <c r="AQ19" s="430"/>
      <c r="AR19" s="3">
        <v>0</v>
      </c>
      <c r="AS19" s="39"/>
      <c r="AT19" s="16"/>
      <c r="AU19" s="39"/>
      <c r="AV19" s="426"/>
      <c r="AW19" s="183"/>
      <c r="AX19" s="13"/>
      <c r="AY19" s="39"/>
      <c r="AZ19" s="38"/>
      <c r="BA19" s="39"/>
      <c r="BB19" s="235"/>
      <c r="BC19" s="39"/>
    </row>
    <row r="20" spans="1:55" s="157" customFormat="1" ht="13.5" customHeight="1">
      <c r="A20" s="461"/>
      <c r="B20" s="15" t="s">
        <v>21</v>
      </c>
      <c r="C20" s="3">
        <v>707058</v>
      </c>
      <c r="D20" s="9">
        <f t="shared" si="0"/>
        <v>0.20323877820869971</v>
      </c>
      <c r="E20" s="178"/>
      <c r="F20" s="5">
        <v>130963</v>
      </c>
      <c r="G20" s="36">
        <f t="shared" si="1"/>
        <v>0.16395001599772477</v>
      </c>
      <c r="H20" s="3">
        <v>258586</v>
      </c>
      <c r="I20" s="9">
        <f t="shared" si="2"/>
        <v>0.35824815371201058</v>
      </c>
      <c r="J20" s="5">
        <v>13555</v>
      </c>
      <c r="K20" s="36">
        <f t="shared" si="3"/>
        <v>0.12238138610582099</v>
      </c>
      <c r="L20" s="7">
        <v>42506</v>
      </c>
      <c r="M20" s="37">
        <f t="shared" si="4"/>
        <v>0.12981765987985752</v>
      </c>
      <c r="N20" s="5">
        <v>51889</v>
      </c>
      <c r="O20" s="36">
        <f t="shared" si="5"/>
        <v>9.242299837891324E-2</v>
      </c>
      <c r="P20" s="3">
        <v>23513</v>
      </c>
      <c r="Q20" s="9"/>
      <c r="R20" s="7">
        <v>7067</v>
      </c>
      <c r="S20" s="37">
        <f t="shared" si="6"/>
        <v>1.2811491284699805</v>
      </c>
      <c r="T20" s="5">
        <v>23479</v>
      </c>
      <c r="U20" s="36">
        <f t="shared" si="7"/>
        <v>-9.1826867288129041E-2</v>
      </c>
      <c r="V20" s="11"/>
      <c r="W20" s="12"/>
      <c r="X20" s="13">
        <v>32478</v>
      </c>
      <c r="Y20" s="9">
        <f t="shared" si="8"/>
        <v>0.25601361280841517</v>
      </c>
      <c r="Z20" s="12"/>
      <c r="AA20" s="37"/>
      <c r="AB20" s="5">
        <v>17323</v>
      </c>
      <c r="AC20" s="36">
        <v>-6.3925213444288337E-2</v>
      </c>
      <c r="AD20" s="3">
        <v>11963</v>
      </c>
      <c r="AE20" s="9">
        <f t="shared" si="9"/>
        <v>2.5247495580436063</v>
      </c>
      <c r="AF20" s="13">
        <v>1595</v>
      </c>
      <c r="AG20" s="36">
        <f t="shared" si="10"/>
        <v>-6.725146198830409E-2</v>
      </c>
      <c r="AH20" s="3"/>
      <c r="AI20" s="9"/>
      <c r="AJ20" s="11"/>
      <c r="AK20" s="40"/>
      <c r="AL20" s="236"/>
      <c r="AM20" s="12"/>
      <c r="AN20" s="13"/>
      <c r="AO20" s="39"/>
      <c r="AP20" s="426"/>
      <c r="AQ20" s="430"/>
      <c r="AR20" s="13">
        <v>11</v>
      </c>
      <c r="AS20" s="39"/>
      <c r="AT20" s="16"/>
      <c r="AU20" s="39"/>
      <c r="AV20" s="426"/>
      <c r="AW20" s="183"/>
      <c r="AX20" s="13"/>
      <c r="AY20" s="39"/>
      <c r="AZ20" s="38"/>
      <c r="BA20" s="39"/>
      <c r="BB20" s="235"/>
      <c r="BC20" s="39"/>
    </row>
    <row r="21" spans="1:55" s="157" customFormat="1" ht="13.5" customHeight="1">
      <c r="A21" s="461"/>
      <c r="B21" s="15" t="s">
        <v>22</v>
      </c>
      <c r="C21" s="3">
        <v>762096</v>
      </c>
      <c r="D21" s="9">
        <f t="shared" si="0"/>
        <v>0.18630226972368244</v>
      </c>
      <c r="E21" s="178"/>
      <c r="F21" s="5">
        <v>122084</v>
      </c>
      <c r="G21" s="36">
        <f t="shared" si="1"/>
        <v>1.3759372898104246E-2</v>
      </c>
      <c r="H21" s="3">
        <v>292795</v>
      </c>
      <c r="I21" s="9">
        <f t="shared" si="2"/>
        <v>0.31261711990388324</v>
      </c>
      <c r="J21" s="5">
        <v>14924</v>
      </c>
      <c r="K21" s="36">
        <f t="shared" si="3"/>
        <v>0.16575535072644898</v>
      </c>
      <c r="L21" s="7">
        <v>51457</v>
      </c>
      <c r="M21" s="37">
        <f t="shared" si="4"/>
        <v>0.15059702160010732</v>
      </c>
      <c r="N21" s="5">
        <v>47738</v>
      </c>
      <c r="O21" s="36">
        <f t="shared" si="5"/>
        <v>-0.18917725388953055</v>
      </c>
      <c r="P21" s="3">
        <v>25928</v>
      </c>
      <c r="Q21" s="9"/>
      <c r="R21" s="7">
        <v>8225</v>
      </c>
      <c r="S21" s="37">
        <f t="shared" si="6"/>
        <v>0.97573865001201054</v>
      </c>
      <c r="T21" s="5">
        <v>29034</v>
      </c>
      <c r="U21" s="36">
        <f t="shared" si="7"/>
        <v>8.7212132559445793E-2</v>
      </c>
      <c r="V21" s="11"/>
      <c r="W21" s="12"/>
      <c r="X21" s="13">
        <v>34180</v>
      </c>
      <c r="Y21" s="9">
        <f t="shared" si="8"/>
        <v>0.27780477774870094</v>
      </c>
      <c r="Z21" s="12"/>
      <c r="AA21" s="37"/>
      <c r="AB21" s="5">
        <v>20772</v>
      </c>
      <c r="AC21" s="36">
        <v>0.15316715705323933</v>
      </c>
      <c r="AD21" s="3">
        <v>10926</v>
      </c>
      <c r="AE21" s="9">
        <f t="shared" si="9"/>
        <v>2.3331299572910309</v>
      </c>
      <c r="AF21" s="13">
        <v>1852</v>
      </c>
      <c r="AG21" s="36">
        <f t="shared" si="10"/>
        <v>0.2650273224043716</v>
      </c>
      <c r="AH21" s="3"/>
      <c r="AI21" s="9"/>
      <c r="AJ21" s="11"/>
      <c r="AK21" s="40"/>
      <c r="AL21" s="236"/>
      <c r="AM21" s="12"/>
      <c r="AN21" s="13"/>
      <c r="AO21" s="39"/>
      <c r="AP21" s="426">
        <f>AP167*0.166</f>
        <v>8282.57</v>
      </c>
      <c r="AQ21" s="438"/>
      <c r="AR21" s="13">
        <v>20</v>
      </c>
      <c r="AS21" s="39"/>
      <c r="AT21" s="16"/>
      <c r="AU21" s="39"/>
      <c r="AV21" s="426"/>
      <c r="AW21" s="183"/>
      <c r="AX21" s="13"/>
      <c r="AY21" s="39"/>
      <c r="AZ21" s="38"/>
      <c r="BA21" s="39"/>
      <c r="BB21" s="235"/>
      <c r="BC21" s="39"/>
    </row>
    <row r="22" spans="1:55" s="157" customFormat="1" ht="13.5" customHeight="1">
      <c r="A22" s="461"/>
      <c r="B22" s="15" t="s">
        <v>23</v>
      </c>
      <c r="C22" s="3">
        <v>802497</v>
      </c>
      <c r="D22" s="9">
        <f t="shared" si="0"/>
        <v>0.17982166616435236</v>
      </c>
      <c r="E22" s="178"/>
      <c r="F22" s="5">
        <v>114151</v>
      </c>
      <c r="G22" s="36">
        <f t="shared" si="1"/>
        <v>-1.3038328188900128E-2</v>
      </c>
      <c r="H22" s="3">
        <v>303391</v>
      </c>
      <c r="I22" s="9">
        <f t="shared" si="2"/>
        <v>0.49754679355552045</v>
      </c>
      <c r="J22" s="5">
        <v>16167</v>
      </c>
      <c r="K22" s="36">
        <f t="shared" si="3"/>
        <v>0.44503038970325348</v>
      </c>
      <c r="L22" s="7">
        <v>50832</v>
      </c>
      <c r="M22" s="37">
        <f t="shared" si="4"/>
        <v>0.3350141821619918</v>
      </c>
      <c r="N22" s="5">
        <v>62025</v>
      </c>
      <c r="O22" s="36">
        <f t="shared" si="5"/>
        <v>-0.1327115610492757</v>
      </c>
      <c r="P22" s="3">
        <v>24274</v>
      </c>
      <c r="Q22" s="9"/>
      <c r="R22" s="7">
        <v>9092</v>
      </c>
      <c r="S22" s="37">
        <f t="shared" si="6"/>
        <v>1.4381871815500133</v>
      </c>
      <c r="T22" s="5">
        <v>28927</v>
      </c>
      <c r="U22" s="36">
        <f t="shared" si="7"/>
        <v>-8.0777908417808006E-2</v>
      </c>
      <c r="V22" s="11"/>
      <c r="W22" s="12"/>
      <c r="X22" s="13">
        <v>37510</v>
      </c>
      <c r="Y22" s="9">
        <f t="shared" si="8"/>
        <v>0.27789323067488847</v>
      </c>
      <c r="Z22" s="12"/>
      <c r="AA22" s="37"/>
      <c r="AB22" s="5">
        <v>22945</v>
      </c>
      <c r="AC22" s="36">
        <v>4.7573391772816512E-2</v>
      </c>
      <c r="AD22" s="3">
        <v>12026</v>
      </c>
      <c r="AE22" s="9">
        <f t="shared" si="9"/>
        <v>0.96471164842346024</v>
      </c>
      <c r="AF22" s="13">
        <v>1719</v>
      </c>
      <c r="AG22" s="36">
        <f t="shared" si="10"/>
        <v>0.46297872340425533</v>
      </c>
      <c r="AH22" s="3"/>
      <c r="AI22" s="9"/>
      <c r="AJ22" s="11"/>
      <c r="AK22" s="40"/>
      <c r="AL22" s="236"/>
      <c r="AM22" s="12"/>
      <c r="AN22" s="13"/>
      <c r="AO22" s="39"/>
      <c r="AP22" s="426"/>
      <c r="AQ22" s="438"/>
      <c r="AR22" s="3">
        <v>0</v>
      </c>
      <c r="AS22" s="39"/>
      <c r="AT22" s="16"/>
      <c r="AU22" s="39"/>
      <c r="AV22" s="426"/>
      <c r="AW22" s="183"/>
      <c r="AX22" s="13"/>
      <c r="AY22" s="39"/>
      <c r="AZ22" s="38"/>
      <c r="BA22" s="39"/>
      <c r="BB22" s="235"/>
      <c r="BC22" s="39"/>
    </row>
    <row r="23" spans="1:55" s="157" customFormat="1" ht="13.5" customHeight="1">
      <c r="A23" s="461"/>
      <c r="B23" s="15" t="s">
        <v>24</v>
      </c>
      <c r="C23" s="3">
        <v>865693</v>
      </c>
      <c r="D23" s="9">
        <f t="shared" si="0"/>
        <v>0.21541712296071661</v>
      </c>
      <c r="E23" s="178"/>
      <c r="F23" s="5">
        <v>133177</v>
      </c>
      <c r="G23" s="36">
        <f t="shared" si="1"/>
        <v>0.14542139349267647</v>
      </c>
      <c r="H23" s="3">
        <v>305043</v>
      </c>
      <c r="I23" s="9">
        <f t="shared" si="2"/>
        <v>0.34053605094197836</v>
      </c>
      <c r="J23" s="5">
        <v>16919</v>
      </c>
      <c r="K23" s="36">
        <f t="shared" si="3"/>
        <v>0.32969192077962906</v>
      </c>
      <c r="L23" s="7">
        <v>57555</v>
      </c>
      <c r="M23" s="37">
        <f t="shared" si="4"/>
        <v>0.38790421760833393</v>
      </c>
      <c r="N23" s="5">
        <v>76232</v>
      </c>
      <c r="O23" s="36">
        <f t="shared" si="5"/>
        <v>8.2564117129143119E-2</v>
      </c>
      <c r="P23" s="3">
        <v>28188</v>
      </c>
      <c r="Q23" s="9"/>
      <c r="R23" s="7">
        <v>9246</v>
      </c>
      <c r="S23" s="37">
        <f t="shared" si="6"/>
        <v>1.2650661440470357</v>
      </c>
      <c r="T23" s="5">
        <v>32366</v>
      </c>
      <c r="U23" s="36">
        <f t="shared" si="7"/>
        <v>8.229393078080588E-2</v>
      </c>
      <c r="V23" s="11"/>
      <c r="W23" s="12"/>
      <c r="X23" s="13">
        <v>39800</v>
      </c>
      <c r="Y23" s="9">
        <f t="shared" si="8"/>
        <v>0.45313812114352481</v>
      </c>
      <c r="Z23" s="12"/>
      <c r="AA23" s="37"/>
      <c r="AB23" s="5">
        <v>21648</v>
      </c>
      <c r="AC23" s="36">
        <v>0.18703734166803751</v>
      </c>
      <c r="AD23" s="3">
        <v>10620</v>
      </c>
      <c r="AE23" s="9">
        <f t="shared" si="9"/>
        <v>0.42168674698795183</v>
      </c>
      <c r="AF23" s="13">
        <v>2445</v>
      </c>
      <c r="AG23" s="36">
        <f t="shared" si="10"/>
        <v>0.88511950655358518</v>
      </c>
      <c r="AH23" s="3"/>
      <c r="AI23" s="9"/>
      <c r="AJ23" s="11"/>
      <c r="AK23" s="40"/>
      <c r="AL23" s="236"/>
      <c r="AM23" s="12"/>
      <c r="AN23" s="13"/>
      <c r="AO23" s="39"/>
      <c r="AP23" s="426"/>
      <c r="AQ23" s="438"/>
      <c r="AR23" s="3">
        <v>0</v>
      </c>
      <c r="AS23" s="39"/>
      <c r="AT23" s="16"/>
      <c r="AU23" s="39"/>
      <c r="AV23" s="426"/>
      <c r="AW23" s="183"/>
      <c r="AX23" s="13"/>
      <c r="AY23" s="39"/>
      <c r="AZ23" s="38"/>
      <c r="BA23" s="39"/>
      <c r="BB23" s="235"/>
      <c r="BC23" s="39"/>
    </row>
    <row r="24" spans="1:55" s="157" customFormat="1" ht="13.5" customHeight="1">
      <c r="A24" s="461"/>
      <c r="B24" s="15" t="s">
        <v>25</v>
      </c>
      <c r="C24" s="3">
        <v>1020757</v>
      </c>
      <c r="D24" s="9">
        <f t="shared" si="0"/>
        <v>0.13767088630167826</v>
      </c>
      <c r="E24" s="178"/>
      <c r="F24" s="5">
        <v>170420</v>
      </c>
      <c r="G24" s="36">
        <f t="shared" si="1"/>
        <v>6.0023636250544257E-2</v>
      </c>
      <c r="H24" s="3">
        <v>336050</v>
      </c>
      <c r="I24" s="9">
        <f t="shared" si="2"/>
        <v>0.18313300520360237</v>
      </c>
      <c r="J24" s="5">
        <v>14237</v>
      </c>
      <c r="K24" s="36">
        <f t="shared" si="3"/>
        <v>0.27150129498972941</v>
      </c>
      <c r="L24" s="7">
        <v>57983</v>
      </c>
      <c r="M24" s="37">
        <f t="shared" si="4"/>
        <v>0.16752914644705313</v>
      </c>
      <c r="N24" s="5">
        <v>82743</v>
      </c>
      <c r="O24" s="36">
        <f t="shared" si="5"/>
        <v>0.10713712267180475</v>
      </c>
      <c r="P24" s="3">
        <v>25624</v>
      </c>
      <c r="Q24" s="9"/>
      <c r="R24" s="7">
        <v>10235</v>
      </c>
      <c r="S24" s="37">
        <f t="shared" si="6"/>
        <v>0.78372255141164171</v>
      </c>
      <c r="T24" s="5">
        <v>42961</v>
      </c>
      <c r="U24" s="36">
        <f t="shared" si="7"/>
        <v>0.20812710911136109</v>
      </c>
      <c r="V24" s="11"/>
      <c r="W24" s="12"/>
      <c r="X24" s="13">
        <v>47265</v>
      </c>
      <c r="Y24" s="9">
        <f t="shared" si="8"/>
        <v>0.51743290098882744</v>
      </c>
      <c r="Z24" s="12"/>
      <c r="AA24" s="37"/>
      <c r="AB24" s="5">
        <v>30276</v>
      </c>
      <c r="AC24" s="36">
        <v>0.50029732408325078</v>
      </c>
      <c r="AD24" s="3">
        <v>16227</v>
      </c>
      <c r="AE24" s="9">
        <f t="shared" si="9"/>
        <v>1.4471422108279295</v>
      </c>
      <c r="AF24" s="13">
        <v>1693</v>
      </c>
      <c r="AG24" s="36">
        <f t="shared" si="10"/>
        <v>0.33412135539795113</v>
      </c>
      <c r="AH24" s="3"/>
      <c r="AI24" s="9"/>
      <c r="AJ24" s="11"/>
      <c r="AK24" s="40"/>
      <c r="AL24" s="236"/>
      <c r="AM24" s="12"/>
      <c r="AN24" s="13"/>
      <c r="AO24" s="39"/>
      <c r="AP24" s="426">
        <f>AP167*0.253</f>
        <v>12623.434999999999</v>
      </c>
      <c r="AQ24" s="427"/>
      <c r="AR24" s="3">
        <v>0</v>
      </c>
      <c r="AS24" s="39"/>
      <c r="AT24" s="16"/>
      <c r="AU24" s="39"/>
      <c r="AV24" s="426"/>
      <c r="AW24" s="183"/>
      <c r="AX24" s="13"/>
      <c r="AY24" s="39"/>
      <c r="AZ24" s="38"/>
      <c r="BA24" s="39"/>
      <c r="BB24" s="235"/>
      <c r="BC24" s="39"/>
    </row>
    <row r="25" spans="1:55" s="157" customFormat="1" ht="13.5" customHeight="1">
      <c r="A25" s="461"/>
      <c r="B25" s="15" t="s">
        <v>26</v>
      </c>
      <c r="C25" s="3">
        <v>1070289</v>
      </c>
      <c r="D25" s="9">
        <f t="shared" si="0"/>
        <v>0.15013975260404075</v>
      </c>
      <c r="E25" s="178"/>
      <c r="F25" s="5">
        <v>193279</v>
      </c>
      <c r="G25" s="36">
        <f t="shared" si="1"/>
        <v>0.13571940628268558</v>
      </c>
      <c r="H25" s="3">
        <v>393475</v>
      </c>
      <c r="I25" s="9">
        <f t="shared" si="2"/>
        <v>0.17606884101288825</v>
      </c>
      <c r="J25" s="5">
        <v>16092</v>
      </c>
      <c r="K25" s="36">
        <f t="shared" si="3"/>
        <v>0.38390092879256965</v>
      </c>
      <c r="L25" s="7">
        <v>61937</v>
      </c>
      <c r="M25" s="37">
        <f t="shared" si="4"/>
        <v>0.17520824241504279</v>
      </c>
      <c r="N25" s="5">
        <v>88053</v>
      </c>
      <c r="O25" s="36">
        <f t="shared" si="5"/>
        <v>-2.1252709386983828E-2</v>
      </c>
      <c r="P25" s="3">
        <v>32408</v>
      </c>
      <c r="Q25" s="9"/>
      <c r="R25" s="7">
        <v>11708</v>
      </c>
      <c r="S25" s="37">
        <f t="shared" si="6"/>
        <v>0.61936376210235133</v>
      </c>
      <c r="T25" s="5">
        <v>42791</v>
      </c>
      <c r="U25" s="36">
        <f t="shared" si="7"/>
        <v>0.11058915131066702</v>
      </c>
      <c r="V25" s="11"/>
      <c r="W25" s="12"/>
      <c r="X25" s="13">
        <v>46366</v>
      </c>
      <c r="Y25" s="9">
        <f t="shared" si="8"/>
        <v>0.3119606123199683</v>
      </c>
      <c r="Z25" s="12"/>
      <c r="AA25" s="37"/>
      <c r="AB25" s="5">
        <v>27500</v>
      </c>
      <c r="AC25" s="36">
        <v>0.2008209248504432</v>
      </c>
      <c r="AD25" s="3">
        <v>18067</v>
      </c>
      <c r="AE25" s="9">
        <f t="shared" si="9"/>
        <v>0.91063874788494081</v>
      </c>
      <c r="AF25" s="13">
        <v>4394</v>
      </c>
      <c r="AG25" s="36">
        <f t="shared" si="10"/>
        <v>0.48848238482384826</v>
      </c>
      <c r="AH25" s="3"/>
      <c r="AI25" s="9"/>
      <c r="AJ25" s="11"/>
      <c r="AK25" s="40"/>
      <c r="AL25" s="236"/>
      <c r="AM25" s="12"/>
      <c r="AN25" s="13"/>
      <c r="AO25" s="39"/>
      <c r="AP25" s="426"/>
      <c r="AQ25" s="427"/>
      <c r="AR25" s="3">
        <v>0</v>
      </c>
      <c r="AS25" s="39"/>
      <c r="AT25" s="16"/>
      <c r="AU25" s="39"/>
      <c r="AV25" s="426"/>
      <c r="AW25" s="183"/>
      <c r="AX25" s="13"/>
      <c r="AY25" s="39"/>
      <c r="AZ25" s="38"/>
      <c r="BA25" s="39"/>
      <c r="BB25" s="235"/>
      <c r="BC25" s="39"/>
    </row>
    <row r="26" spans="1:55" s="157" customFormat="1" ht="13.5" customHeight="1">
      <c r="A26" s="461"/>
      <c r="B26" s="15" t="s">
        <v>27</v>
      </c>
      <c r="C26" s="3">
        <v>785549</v>
      </c>
      <c r="D26" s="9">
        <f t="shared" si="0"/>
        <v>0.15141943351645451</v>
      </c>
      <c r="E26" s="178"/>
      <c r="F26" s="5">
        <v>130269</v>
      </c>
      <c r="G26" s="36">
        <f t="shared" si="1"/>
        <v>0.15197686654934872</v>
      </c>
      <c r="H26" s="3">
        <v>284540</v>
      </c>
      <c r="I26" s="9">
        <f t="shared" si="2"/>
        <v>0.18781543650777086</v>
      </c>
      <c r="J26" s="5">
        <v>12056</v>
      </c>
      <c r="K26" s="36">
        <f t="shared" si="3"/>
        <v>3.1661817559472873E-2</v>
      </c>
      <c r="L26" s="7">
        <v>52034</v>
      </c>
      <c r="M26" s="37">
        <f t="shared" si="4"/>
        <v>0.16485336915155585</v>
      </c>
      <c r="N26" s="5">
        <v>58794</v>
      </c>
      <c r="O26" s="36">
        <f t="shared" si="5"/>
        <v>-0.1030116254233668</v>
      </c>
      <c r="P26" s="3">
        <v>22975</v>
      </c>
      <c r="Q26" s="9"/>
      <c r="R26" s="7">
        <v>7553</v>
      </c>
      <c r="S26" s="37">
        <f t="shared" si="6"/>
        <v>0.19471686175260994</v>
      </c>
      <c r="T26" s="5">
        <v>25572</v>
      </c>
      <c r="U26" s="36">
        <f t="shared" si="7"/>
        <v>-1.4794267221451687E-2</v>
      </c>
      <c r="V26" s="11"/>
      <c r="W26" s="12"/>
      <c r="X26" s="13">
        <v>30481</v>
      </c>
      <c r="Y26" s="9">
        <f t="shared" si="8"/>
        <v>0.16397449115973584</v>
      </c>
      <c r="Z26" s="12"/>
      <c r="AA26" s="37"/>
      <c r="AB26" s="5">
        <v>20840</v>
      </c>
      <c r="AC26" s="36">
        <v>0.68499353169469601</v>
      </c>
      <c r="AD26" s="3">
        <v>14425</v>
      </c>
      <c r="AE26" s="9">
        <f t="shared" si="9"/>
        <v>0.20248416138712905</v>
      </c>
      <c r="AF26" s="13">
        <v>1071</v>
      </c>
      <c r="AG26" s="36">
        <f t="shared" si="10"/>
        <v>0.26595744680851063</v>
      </c>
      <c r="AH26" s="3"/>
      <c r="AI26" s="9"/>
      <c r="AJ26" s="11"/>
      <c r="AK26" s="40"/>
      <c r="AL26" s="236"/>
      <c r="AM26" s="12"/>
      <c r="AN26" s="13"/>
      <c r="AO26" s="39"/>
      <c r="AP26" s="426"/>
      <c r="AQ26" s="427"/>
      <c r="AR26" s="3">
        <v>0</v>
      </c>
      <c r="AS26" s="39"/>
      <c r="AT26" s="16"/>
      <c r="AU26" s="39"/>
      <c r="AV26" s="426"/>
      <c r="AW26" s="183"/>
      <c r="AX26" s="13"/>
      <c r="AY26" s="39"/>
      <c r="AZ26" s="38"/>
      <c r="BA26" s="39"/>
      <c r="BB26" s="235"/>
      <c r="BC26" s="39"/>
    </row>
    <row r="27" spans="1:55" s="157" customFormat="1" ht="13.5" customHeight="1">
      <c r="A27" s="461"/>
      <c r="B27" s="15" t="s">
        <v>28</v>
      </c>
      <c r="C27" s="3">
        <v>848088</v>
      </c>
      <c r="D27" s="9">
        <f t="shared" si="0"/>
        <v>0.11953195747276044</v>
      </c>
      <c r="E27" s="178"/>
      <c r="F27" s="5">
        <v>146650</v>
      </c>
      <c r="G27" s="36">
        <f t="shared" si="1"/>
        <v>0.19346989265688452</v>
      </c>
      <c r="H27" s="3">
        <v>314111</v>
      </c>
      <c r="I27" s="9">
        <f t="shared" si="2"/>
        <v>0.151433284457478</v>
      </c>
      <c r="J27" s="5">
        <v>14055</v>
      </c>
      <c r="K27" s="36">
        <f t="shared" si="3"/>
        <v>0.18999237998475996</v>
      </c>
      <c r="L27" s="7">
        <v>57183</v>
      </c>
      <c r="M27" s="37">
        <f t="shared" si="4"/>
        <v>0.17211905054728815</v>
      </c>
      <c r="N27" s="5">
        <v>75330</v>
      </c>
      <c r="O27" s="36">
        <f t="shared" si="5"/>
        <v>-2.883958384364485E-2</v>
      </c>
      <c r="P27" s="3">
        <v>27588</v>
      </c>
      <c r="Q27" s="9"/>
      <c r="R27" s="7">
        <v>9594</v>
      </c>
      <c r="S27" s="37">
        <f t="shared" si="6"/>
        <v>0.43450956937799046</v>
      </c>
      <c r="T27" s="5">
        <v>30060</v>
      </c>
      <c r="U27" s="36">
        <f t="shared" si="7"/>
        <v>0.11602004826434008</v>
      </c>
      <c r="V27" s="11"/>
      <c r="W27" s="12"/>
      <c r="X27" s="13">
        <v>42044</v>
      </c>
      <c r="Y27" s="9">
        <f t="shared" si="8"/>
        <v>0.42788249278315504</v>
      </c>
      <c r="Z27" s="12"/>
      <c r="AA27" s="37"/>
      <c r="AB27" s="5">
        <v>18038</v>
      </c>
      <c r="AC27" s="36">
        <v>0.13883452238146349</v>
      </c>
      <c r="AD27" s="3">
        <v>11202</v>
      </c>
      <c r="AE27" s="9">
        <f t="shared" si="9"/>
        <v>7.6804767855426323E-2</v>
      </c>
      <c r="AF27" s="13">
        <v>1838</v>
      </c>
      <c r="AG27" s="36">
        <f t="shared" si="10"/>
        <v>0.28801681850035038</v>
      </c>
      <c r="AH27" s="3"/>
      <c r="AI27" s="9"/>
      <c r="AJ27" s="11"/>
      <c r="AK27" s="40"/>
      <c r="AL27" s="236"/>
      <c r="AM27" s="12"/>
      <c r="AN27" s="13"/>
      <c r="AO27" s="39"/>
      <c r="AP27" s="426">
        <f>AP167*0.287</f>
        <v>14319.864999999998</v>
      </c>
      <c r="AQ27" s="427">
        <f>(AP27/AP15-1)</f>
        <v>0.10058665203303008</v>
      </c>
      <c r="AR27" s="3">
        <v>0</v>
      </c>
      <c r="AS27" s="39"/>
      <c r="AT27" s="16"/>
      <c r="AU27" s="39"/>
      <c r="AV27" s="426"/>
      <c r="AW27" s="183"/>
      <c r="AX27" s="13"/>
      <c r="AY27" s="39"/>
      <c r="AZ27" s="38"/>
      <c r="BA27" s="39"/>
      <c r="BB27" s="235"/>
      <c r="BC27" s="39"/>
    </row>
    <row r="28" spans="1:55" s="157" customFormat="1" ht="13.5" customHeight="1">
      <c r="A28" s="461"/>
      <c r="B28" s="15" t="s">
        <v>29</v>
      </c>
      <c r="C28" s="3">
        <v>784031</v>
      </c>
      <c r="D28" s="9">
        <f t="shared" si="0"/>
        <v>5.1139113565459644E-2</v>
      </c>
      <c r="E28" s="178"/>
      <c r="F28" s="5">
        <v>140442</v>
      </c>
      <c r="G28" s="36">
        <f t="shared" si="1"/>
        <v>9.4049186330032952E-2</v>
      </c>
      <c r="H28" s="3">
        <v>255440</v>
      </c>
      <c r="I28" s="9">
        <f t="shared" si="2"/>
        <v>4.8027767976564613E-2</v>
      </c>
      <c r="J28" s="5">
        <v>15199</v>
      </c>
      <c r="K28" s="36">
        <f t="shared" si="3"/>
        <v>9.5107716694286332E-2</v>
      </c>
      <c r="L28" s="7">
        <v>53115</v>
      </c>
      <c r="M28" s="37">
        <f t="shared" si="4"/>
        <v>-4.8493425531152594E-2</v>
      </c>
      <c r="N28" s="5">
        <v>81795</v>
      </c>
      <c r="O28" s="36">
        <f t="shared" si="5"/>
        <v>-0.20626679993401326</v>
      </c>
      <c r="P28" s="3">
        <v>27656</v>
      </c>
      <c r="Q28" s="9"/>
      <c r="R28" s="7">
        <v>10870</v>
      </c>
      <c r="S28" s="37">
        <f t="shared" si="6"/>
        <v>0.45847309808130954</v>
      </c>
      <c r="T28" s="5">
        <v>31277</v>
      </c>
      <c r="U28" s="36">
        <f t="shared" si="7"/>
        <v>-1.0941403408911235E-2</v>
      </c>
      <c r="V28" s="11"/>
      <c r="W28" s="12"/>
      <c r="X28" s="13">
        <v>47685</v>
      </c>
      <c r="Y28" s="9">
        <f t="shared" si="8"/>
        <v>0.21354405252710329</v>
      </c>
      <c r="Z28" s="12"/>
      <c r="AA28" s="37"/>
      <c r="AB28" s="5">
        <v>30936</v>
      </c>
      <c r="AC28" s="36">
        <v>0.62317015583189039</v>
      </c>
      <c r="AD28" s="3">
        <v>14208</v>
      </c>
      <c r="AE28" s="9">
        <f t="shared" si="9"/>
        <v>0.58183032732130924</v>
      </c>
      <c r="AF28" s="13">
        <v>907</v>
      </c>
      <c r="AG28" s="36">
        <f t="shared" si="10"/>
        <v>8.2338902147971363E-2</v>
      </c>
      <c r="AH28" s="3"/>
      <c r="AI28" s="9"/>
      <c r="AJ28" s="11"/>
      <c r="AK28" s="40"/>
      <c r="AL28" s="236"/>
      <c r="AM28" s="12"/>
      <c r="AN28" s="13"/>
      <c r="AO28" s="39"/>
      <c r="AP28" s="426"/>
      <c r="AQ28" s="427"/>
      <c r="AR28" s="13">
        <v>20</v>
      </c>
      <c r="AS28" s="39"/>
      <c r="AT28" s="16"/>
      <c r="AU28" s="39"/>
      <c r="AV28" s="426"/>
      <c r="AW28" s="183"/>
      <c r="AX28" s="13"/>
      <c r="AY28" s="39"/>
      <c r="AZ28" s="38"/>
      <c r="BA28" s="39"/>
      <c r="BB28" s="235"/>
      <c r="BC28" s="39"/>
    </row>
    <row r="29" spans="1:55" s="157" customFormat="1" ht="13.5" customHeight="1">
      <c r="A29" s="462"/>
      <c r="B29" s="41" t="s">
        <v>30</v>
      </c>
      <c r="C29" s="18">
        <v>790681</v>
      </c>
      <c r="D29" s="19">
        <f t="shared" si="0"/>
        <v>8.9547014800943098E-2</v>
      </c>
      <c r="E29" s="178"/>
      <c r="F29" s="42">
        <v>142015</v>
      </c>
      <c r="G29" s="43">
        <f t="shared" si="1"/>
        <v>0.17545544087338702</v>
      </c>
      <c r="H29" s="18">
        <v>234074</v>
      </c>
      <c r="I29" s="19">
        <f t="shared" si="2"/>
        <v>4.0328888888888886E-2</v>
      </c>
      <c r="J29" s="42">
        <v>14405</v>
      </c>
      <c r="K29" s="43">
        <f t="shared" si="3"/>
        <v>0.10858857934431276</v>
      </c>
      <c r="L29" s="44">
        <v>58084</v>
      </c>
      <c r="M29" s="45">
        <f t="shared" si="4"/>
        <v>0.13582854237553288</v>
      </c>
      <c r="N29" s="42">
        <v>84351</v>
      </c>
      <c r="O29" s="43">
        <f t="shared" si="5"/>
        <v>-6.2381201160477087E-2</v>
      </c>
      <c r="P29" s="18">
        <v>27472</v>
      </c>
      <c r="Q29" s="19"/>
      <c r="R29" s="44">
        <v>14479</v>
      </c>
      <c r="S29" s="45">
        <f t="shared" si="6"/>
        <v>0.88504101028511917</v>
      </c>
      <c r="T29" s="42">
        <v>32789</v>
      </c>
      <c r="U29" s="43">
        <f t="shared" si="7"/>
        <v>0.16091913326724261</v>
      </c>
      <c r="V29" s="48"/>
      <c r="W29" s="49"/>
      <c r="X29" s="50">
        <v>50643</v>
      </c>
      <c r="Y29" s="19">
        <f t="shared" si="8"/>
        <v>0.32865463322489252</v>
      </c>
      <c r="Z29" s="49"/>
      <c r="AA29" s="45"/>
      <c r="AB29" s="42">
        <v>17797</v>
      </c>
      <c r="AC29" s="43">
        <v>-0.32962935061021548</v>
      </c>
      <c r="AD29" s="18">
        <v>14602</v>
      </c>
      <c r="AE29" s="19">
        <f t="shared" si="9"/>
        <v>0.3588311930020473</v>
      </c>
      <c r="AF29" s="50">
        <v>1845</v>
      </c>
      <c r="AG29" s="43">
        <f t="shared" si="10"/>
        <v>1.5308641975308641</v>
      </c>
      <c r="AH29" s="3"/>
      <c r="AI29" s="9"/>
      <c r="AJ29" s="48"/>
      <c r="AK29" s="51"/>
      <c r="AL29" s="240"/>
      <c r="AM29" s="49"/>
      <c r="AN29" s="50"/>
      <c r="AO29" s="47"/>
      <c r="AP29" s="426"/>
      <c r="AQ29" s="427"/>
      <c r="AR29" s="42">
        <v>0</v>
      </c>
      <c r="AS29" s="47"/>
      <c r="AT29" s="20"/>
      <c r="AU29" s="47"/>
      <c r="AV29" s="433"/>
      <c r="AW29" s="184"/>
      <c r="AX29" s="50"/>
      <c r="AY29" s="47"/>
      <c r="AZ29" s="46"/>
      <c r="BA29" s="47"/>
      <c r="BB29" s="239"/>
      <c r="BC29" s="47"/>
    </row>
    <row r="30" spans="1:55" s="157" customFormat="1" ht="13.5" customHeight="1">
      <c r="A30" s="457" t="s">
        <v>136</v>
      </c>
      <c r="B30" s="15" t="s">
        <v>132</v>
      </c>
      <c r="C30" s="3">
        <v>985287</v>
      </c>
      <c r="D30" s="9">
        <f t="shared" si="0"/>
        <v>9.7927805252026393E-2</v>
      </c>
      <c r="E30" s="178"/>
      <c r="F30" s="5">
        <v>192590</v>
      </c>
      <c r="G30" s="36">
        <f t="shared" si="1"/>
        <v>0.10193105421255901</v>
      </c>
      <c r="H30" s="3">
        <v>268689</v>
      </c>
      <c r="I30" s="9">
        <f t="shared" si="2"/>
        <v>-0.10870170969090222</v>
      </c>
      <c r="J30" s="5">
        <v>20001</v>
      </c>
      <c r="K30" s="36">
        <f t="shared" si="3"/>
        <v>4.101389684068079E-2</v>
      </c>
      <c r="L30" s="7">
        <v>60723</v>
      </c>
      <c r="M30" s="37">
        <f t="shared" si="4"/>
        <v>0.13198366981712431</v>
      </c>
      <c r="N30" s="5">
        <v>118919</v>
      </c>
      <c r="O30" s="36">
        <f t="shared" si="5"/>
        <v>1.2551581582340894</v>
      </c>
      <c r="P30" s="3">
        <v>38758</v>
      </c>
      <c r="Q30" s="9">
        <f t="shared" ref="Q30:Q60" si="11">(P30-P18)/P18</f>
        <v>0.5303640527521124</v>
      </c>
      <c r="R30" s="7">
        <v>18451</v>
      </c>
      <c r="S30" s="37">
        <f t="shared" si="6"/>
        <v>0.42061903295349551</v>
      </c>
      <c r="T30" s="5">
        <v>40604</v>
      </c>
      <c r="U30" s="36">
        <f t="shared" si="7"/>
        <v>0.99136831780284451</v>
      </c>
      <c r="V30" s="3">
        <v>660</v>
      </c>
      <c r="W30" s="28"/>
      <c r="X30" s="13">
        <v>58583</v>
      </c>
      <c r="Y30" s="9">
        <f t="shared" si="8"/>
        <v>0.298094393972967</v>
      </c>
      <c r="Z30" s="12"/>
      <c r="AA30" s="37"/>
      <c r="AB30" s="5">
        <v>23988</v>
      </c>
      <c r="AC30" s="36">
        <v>0.52537199542159485</v>
      </c>
      <c r="AD30" s="3">
        <v>15051</v>
      </c>
      <c r="AE30" s="9">
        <f t="shared" si="9"/>
        <v>0.31323619230433647</v>
      </c>
      <c r="AF30" s="3">
        <v>3615</v>
      </c>
      <c r="AG30" s="26">
        <f>(AF30-AF18)/AF18</f>
        <v>0.10213414634146341</v>
      </c>
      <c r="AH30" s="23"/>
      <c r="AI30" s="24"/>
      <c r="AJ30" s="440">
        <v>25753</v>
      </c>
      <c r="AK30" s="453"/>
      <c r="AL30" s="3"/>
      <c r="AM30" s="28"/>
      <c r="AN30" s="3">
        <v>1316</v>
      </c>
      <c r="AO30" s="24"/>
      <c r="AP30" s="440">
        <f>AP168*0.321</f>
        <v>22600.647000000001</v>
      </c>
      <c r="AQ30" s="455">
        <f>(AP30/AP18-1)</f>
        <v>0.54595278070295761</v>
      </c>
      <c r="AR30" s="3">
        <v>0</v>
      </c>
      <c r="AS30" s="401" t="str">
        <f>IFERROR(AR30/AR18-1,"-")</f>
        <v>-</v>
      </c>
      <c r="AT30" s="29"/>
      <c r="AU30" s="30"/>
      <c r="AV30" s="411">
        <v>11824</v>
      </c>
      <c r="AW30" s="414">
        <f>AV30/AV18-1</f>
        <v>0.35814380886744779</v>
      </c>
      <c r="AX30" s="3"/>
      <c r="AY30" s="24"/>
      <c r="AZ30" s="29"/>
      <c r="BA30" s="30"/>
      <c r="BB30" s="3"/>
      <c r="BC30" s="237"/>
    </row>
    <row r="31" spans="1:55" s="157" customFormat="1" ht="13.5" customHeight="1">
      <c r="A31" s="461"/>
      <c r="B31" s="15" t="s">
        <v>133</v>
      </c>
      <c r="C31" s="3">
        <v>944596</v>
      </c>
      <c r="D31" s="9">
        <f t="shared" si="0"/>
        <v>0.2662178718977799</v>
      </c>
      <c r="E31" s="178"/>
      <c r="F31" s="5">
        <v>174239</v>
      </c>
      <c r="G31" s="36">
        <f t="shared" si="1"/>
        <v>0.16981322089884926</v>
      </c>
      <c r="H31" s="3">
        <v>322009</v>
      </c>
      <c r="I31" s="9">
        <f t="shared" si="2"/>
        <v>0.2205540099006148</v>
      </c>
      <c r="J31" s="5">
        <v>18518</v>
      </c>
      <c r="K31" s="36">
        <f t="shared" si="3"/>
        <v>0.17986619942656898</v>
      </c>
      <c r="L31" s="7">
        <v>59013</v>
      </c>
      <c r="M31" s="37">
        <f t="shared" si="4"/>
        <v>0.27869385278758857</v>
      </c>
      <c r="N31" s="5">
        <v>113858</v>
      </c>
      <c r="O31" s="36">
        <f t="shared" si="5"/>
        <v>1.0769806089129681</v>
      </c>
      <c r="P31" s="3">
        <v>42231</v>
      </c>
      <c r="Q31" s="9">
        <f t="shared" si="11"/>
        <v>0.60812611857888121</v>
      </c>
      <c r="R31" s="7">
        <v>18200</v>
      </c>
      <c r="S31" s="37">
        <f t="shared" si="6"/>
        <v>0.87977690559801691</v>
      </c>
      <c r="T31" s="5">
        <v>40835</v>
      </c>
      <c r="U31" s="36">
        <f t="shared" si="7"/>
        <v>0.66361117901083677</v>
      </c>
      <c r="V31" s="3">
        <v>451</v>
      </c>
      <c r="W31" s="37"/>
      <c r="X31" s="13">
        <v>47678</v>
      </c>
      <c r="Y31" s="9">
        <f t="shared" si="8"/>
        <v>0.32870718724744319</v>
      </c>
      <c r="Z31" s="12"/>
      <c r="AA31" s="37"/>
      <c r="AB31" s="5">
        <v>23621</v>
      </c>
      <c r="AC31" s="36">
        <v>0.20792636154436206</v>
      </c>
      <c r="AD31" s="3">
        <v>17705</v>
      </c>
      <c r="AE31" s="9">
        <f t="shared" si="9"/>
        <v>0.42208835341365464</v>
      </c>
      <c r="AF31" s="3">
        <v>5782</v>
      </c>
      <c r="AG31" s="36">
        <f t="shared" ref="AG31:AG41" si="12">(AF31-AF19)/AF19</f>
        <v>0.77962449984610649</v>
      </c>
      <c r="AH31" s="3"/>
      <c r="AI31" s="9"/>
      <c r="AJ31" s="426"/>
      <c r="AK31" s="435"/>
      <c r="AL31" s="3"/>
      <c r="AM31" s="37"/>
      <c r="AN31" s="3">
        <v>1127</v>
      </c>
      <c r="AO31" s="9"/>
      <c r="AP31" s="426"/>
      <c r="AQ31" s="430"/>
      <c r="AR31" s="3">
        <v>0</v>
      </c>
      <c r="AS31" s="99" t="str">
        <f t="shared" ref="AS31:AS94" si="13">IFERROR(AR31/AR19-1,"-")</f>
        <v>-</v>
      </c>
      <c r="AT31" s="38"/>
      <c r="AU31" s="39"/>
      <c r="AV31" s="412"/>
      <c r="AW31" s="415"/>
      <c r="AX31" s="3"/>
      <c r="AY31" s="9"/>
      <c r="AZ31" s="38"/>
      <c r="BA31" s="39"/>
      <c r="BB31" s="3"/>
      <c r="BC31" s="238"/>
    </row>
    <row r="32" spans="1:55" s="157" customFormat="1" ht="13.5" customHeight="1">
      <c r="A32" s="461"/>
      <c r="B32" s="15" t="s">
        <v>21</v>
      </c>
      <c r="C32" s="3">
        <v>823918</v>
      </c>
      <c r="D32" s="9">
        <f t="shared" si="0"/>
        <v>0.16527639882442458</v>
      </c>
      <c r="E32" s="178"/>
      <c r="F32" s="5">
        <v>149071</v>
      </c>
      <c r="G32" s="36">
        <f t="shared" si="1"/>
        <v>0.13826806044455303</v>
      </c>
      <c r="H32" s="3">
        <v>270025</v>
      </c>
      <c r="I32" s="9">
        <f t="shared" si="2"/>
        <v>4.4236733620536303E-2</v>
      </c>
      <c r="J32" s="5">
        <v>15970</v>
      </c>
      <c r="K32" s="36">
        <f t="shared" si="3"/>
        <v>0.17816303946883069</v>
      </c>
      <c r="L32" s="7">
        <v>53903</v>
      </c>
      <c r="M32" s="37">
        <f t="shared" si="4"/>
        <v>0.26812685267962172</v>
      </c>
      <c r="N32" s="5">
        <v>91948</v>
      </c>
      <c r="O32" s="36">
        <f t="shared" si="5"/>
        <v>0.77201333615987977</v>
      </c>
      <c r="P32" s="3">
        <v>40629</v>
      </c>
      <c r="Q32" s="9">
        <f t="shared" si="11"/>
        <v>0.72793773657125849</v>
      </c>
      <c r="R32" s="7">
        <v>12279</v>
      </c>
      <c r="S32" s="37">
        <f t="shared" si="6"/>
        <v>0.73751238149143905</v>
      </c>
      <c r="T32" s="5">
        <v>36144</v>
      </c>
      <c r="U32" s="36">
        <f t="shared" si="7"/>
        <v>0.53941820350100089</v>
      </c>
      <c r="V32" s="3">
        <v>482</v>
      </c>
      <c r="W32" s="37"/>
      <c r="X32" s="13">
        <v>38507</v>
      </c>
      <c r="Y32" s="9">
        <f t="shared" si="8"/>
        <v>0.18563335180737739</v>
      </c>
      <c r="Z32" s="12"/>
      <c r="AA32" s="37"/>
      <c r="AB32" s="5">
        <v>22605</v>
      </c>
      <c r="AC32" s="36">
        <v>0.30491254401662532</v>
      </c>
      <c r="AD32" s="3">
        <v>15529</v>
      </c>
      <c r="AE32" s="9">
        <f t="shared" si="9"/>
        <v>0.29808576444035778</v>
      </c>
      <c r="AF32" s="3">
        <v>3560</v>
      </c>
      <c r="AG32" s="36">
        <f t="shared" si="12"/>
        <v>1.2319749216300941</v>
      </c>
      <c r="AH32" s="3"/>
      <c r="AI32" s="9"/>
      <c r="AJ32" s="426"/>
      <c r="AK32" s="435"/>
      <c r="AL32" s="3"/>
      <c r="AM32" s="37"/>
      <c r="AN32" s="3">
        <v>1115</v>
      </c>
      <c r="AO32" s="9"/>
      <c r="AP32" s="426"/>
      <c r="AQ32" s="430"/>
      <c r="AR32" s="3">
        <v>0</v>
      </c>
      <c r="AS32" s="99">
        <f t="shared" si="13"/>
        <v>-1</v>
      </c>
      <c r="AT32" s="38"/>
      <c r="AU32" s="39"/>
      <c r="AV32" s="412"/>
      <c r="AW32" s="415"/>
      <c r="AX32" s="3"/>
      <c r="AY32" s="9"/>
      <c r="AZ32" s="38"/>
      <c r="BA32" s="39"/>
      <c r="BB32" s="3"/>
      <c r="BC32" s="238"/>
    </row>
    <row r="33" spans="1:55" s="157" customFormat="1" ht="13.5" customHeight="1">
      <c r="A33" s="461"/>
      <c r="B33" s="15" t="s">
        <v>22</v>
      </c>
      <c r="C33" s="3">
        <v>855083</v>
      </c>
      <c r="D33" s="9">
        <f t="shared" si="0"/>
        <v>0.12201481178224266</v>
      </c>
      <c r="E33" s="178"/>
      <c r="F33" s="5">
        <v>162657</v>
      </c>
      <c r="G33" s="36">
        <f t="shared" si="1"/>
        <v>0.33233675174470034</v>
      </c>
      <c r="H33" s="3">
        <v>296361</v>
      </c>
      <c r="I33" s="9">
        <f t="shared" si="2"/>
        <v>1.2179169726258987E-2</v>
      </c>
      <c r="J33" s="5">
        <v>13682</v>
      </c>
      <c r="K33" s="36">
        <f t="shared" si="3"/>
        <v>-8.3221656392388099E-2</v>
      </c>
      <c r="L33" s="7">
        <v>55107</v>
      </c>
      <c r="M33" s="37">
        <f t="shared" si="4"/>
        <v>7.0933012029461492E-2</v>
      </c>
      <c r="N33" s="5">
        <v>76343</v>
      </c>
      <c r="O33" s="36">
        <f t="shared" si="5"/>
        <v>0.59920817797142734</v>
      </c>
      <c r="P33" s="3">
        <v>33282</v>
      </c>
      <c r="Q33" s="9">
        <f t="shared" si="11"/>
        <v>0.2836315951866708</v>
      </c>
      <c r="R33" s="7">
        <v>10509</v>
      </c>
      <c r="S33" s="37">
        <f t="shared" si="6"/>
        <v>0.2776899696048632</v>
      </c>
      <c r="T33" s="5">
        <v>31775</v>
      </c>
      <c r="U33" s="36">
        <f t="shared" si="7"/>
        <v>9.4406557828752499E-2</v>
      </c>
      <c r="V33" s="5">
        <v>322</v>
      </c>
      <c r="W33" s="37"/>
      <c r="X33" s="13">
        <v>39115</v>
      </c>
      <c r="Y33" s="9">
        <f t="shared" si="8"/>
        <v>0.1443826799297836</v>
      </c>
      <c r="Z33" s="12"/>
      <c r="AA33" s="37"/>
      <c r="AB33" s="5">
        <v>23086</v>
      </c>
      <c r="AC33" s="36">
        <v>0.1113999614866166</v>
      </c>
      <c r="AD33" s="3">
        <v>14233</v>
      </c>
      <c r="AE33" s="9">
        <f t="shared" si="9"/>
        <v>0.30267252425407287</v>
      </c>
      <c r="AF33" s="5">
        <v>2660</v>
      </c>
      <c r="AG33" s="36">
        <f t="shared" si="12"/>
        <v>0.43628509719222464</v>
      </c>
      <c r="AH33" s="3"/>
      <c r="AI33" s="9"/>
      <c r="AJ33" s="426"/>
      <c r="AK33" s="435"/>
      <c r="AL33" s="5"/>
      <c r="AM33" s="37"/>
      <c r="AN33" s="5">
        <v>684</v>
      </c>
      <c r="AO33" s="9"/>
      <c r="AP33" s="426">
        <f>AP168*0.153</f>
        <v>10772.271000000001</v>
      </c>
      <c r="AQ33" s="438">
        <f>(AP33/AP21-1)</f>
        <v>0.30059522587795828</v>
      </c>
      <c r="AR33" s="5">
        <v>0</v>
      </c>
      <c r="AS33" s="99">
        <f t="shared" si="13"/>
        <v>-1</v>
      </c>
      <c r="AT33" s="38"/>
      <c r="AU33" s="39"/>
      <c r="AV33" s="412"/>
      <c r="AW33" s="415"/>
      <c r="AX33" s="5"/>
      <c r="AY33" s="9"/>
      <c r="AZ33" s="38"/>
      <c r="BA33" s="39"/>
      <c r="BB33" s="5"/>
      <c r="BC33" s="238"/>
    </row>
    <row r="34" spans="1:55" s="157" customFormat="1" ht="13.5" customHeight="1">
      <c r="A34" s="461"/>
      <c r="B34" s="15" t="s">
        <v>23</v>
      </c>
      <c r="C34" s="3">
        <v>906482</v>
      </c>
      <c r="D34" s="9">
        <f t="shared" si="0"/>
        <v>0.12957680838682262</v>
      </c>
      <c r="E34" s="178"/>
      <c r="F34" s="5">
        <v>161080</v>
      </c>
      <c r="G34" s="36">
        <f t="shared" si="1"/>
        <v>0.41111334986114884</v>
      </c>
      <c r="H34" s="3">
        <v>318514</v>
      </c>
      <c r="I34" s="9">
        <f t="shared" si="2"/>
        <v>4.9846567630549357E-2</v>
      </c>
      <c r="J34" s="5">
        <v>14007</v>
      </c>
      <c r="K34" s="36">
        <f t="shared" si="3"/>
        <v>-0.13360549267025423</v>
      </c>
      <c r="L34" s="7">
        <v>52803</v>
      </c>
      <c r="M34" s="37">
        <f t="shared" si="4"/>
        <v>3.8774787535410762E-2</v>
      </c>
      <c r="N34" s="5">
        <v>79708</v>
      </c>
      <c r="O34" s="36">
        <f t="shared" si="5"/>
        <v>0.28509471987101975</v>
      </c>
      <c r="P34" s="3">
        <v>27155</v>
      </c>
      <c r="Q34" s="9">
        <f t="shared" si="11"/>
        <v>0.11868666062453655</v>
      </c>
      <c r="R34" s="7">
        <v>10705</v>
      </c>
      <c r="S34" s="37">
        <f t="shared" si="6"/>
        <v>0.17740871095468544</v>
      </c>
      <c r="T34" s="5">
        <v>34237</v>
      </c>
      <c r="U34" s="36">
        <f t="shared" si="7"/>
        <v>0.18356552701628237</v>
      </c>
      <c r="V34" s="5">
        <v>375</v>
      </c>
      <c r="W34" s="37"/>
      <c r="X34" s="13">
        <v>41376</v>
      </c>
      <c r="Y34" s="9">
        <f t="shared" si="8"/>
        <v>0.10306584910690475</v>
      </c>
      <c r="Z34" s="12"/>
      <c r="AA34" s="37"/>
      <c r="AB34" s="5">
        <v>24454</v>
      </c>
      <c r="AC34" s="36">
        <v>6.5765962083242535E-2</v>
      </c>
      <c r="AD34" s="3">
        <v>12685</v>
      </c>
      <c r="AE34" s="9">
        <f t="shared" si="9"/>
        <v>5.4797937801430233E-2</v>
      </c>
      <c r="AF34" s="5">
        <v>2172</v>
      </c>
      <c r="AG34" s="36">
        <f t="shared" si="12"/>
        <v>0.26352530541012215</v>
      </c>
      <c r="AH34" s="3"/>
      <c r="AI34" s="9"/>
      <c r="AJ34" s="426"/>
      <c r="AK34" s="435"/>
      <c r="AL34" s="5"/>
      <c r="AM34" s="37"/>
      <c r="AN34" s="5">
        <v>1106</v>
      </c>
      <c r="AO34" s="9"/>
      <c r="AP34" s="426"/>
      <c r="AQ34" s="438"/>
      <c r="AR34" s="5">
        <v>9</v>
      </c>
      <c r="AS34" s="99" t="str">
        <f t="shared" si="13"/>
        <v>-</v>
      </c>
      <c r="AT34" s="38"/>
      <c r="AU34" s="39"/>
      <c r="AV34" s="412"/>
      <c r="AW34" s="415"/>
      <c r="AX34" s="5"/>
      <c r="AY34" s="9"/>
      <c r="AZ34" s="38"/>
      <c r="BA34" s="39"/>
      <c r="BB34" s="5"/>
      <c r="BC34" s="238"/>
    </row>
    <row r="35" spans="1:55" s="157" customFormat="1" ht="13.5" customHeight="1">
      <c r="A35" s="461"/>
      <c r="B35" s="15" t="s">
        <v>24</v>
      </c>
      <c r="C35" s="3">
        <v>915942</v>
      </c>
      <c r="D35" s="9">
        <f t="shared" si="0"/>
        <v>5.8044826514711337E-2</v>
      </c>
      <c r="E35" s="178"/>
      <c r="F35" s="5">
        <v>153706</v>
      </c>
      <c r="G35" s="36">
        <f t="shared" si="1"/>
        <v>0.15414823881000472</v>
      </c>
      <c r="H35" s="3">
        <v>309209</v>
      </c>
      <c r="I35" s="9">
        <f t="shared" si="2"/>
        <v>1.3657090967502943E-2</v>
      </c>
      <c r="J35" s="5">
        <v>16478</v>
      </c>
      <c r="K35" s="36">
        <f t="shared" si="3"/>
        <v>-2.6065370293752586E-2</v>
      </c>
      <c r="L35" s="7">
        <v>52135</v>
      </c>
      <c r="M35" s="37">
        <f t="shared" si="4"/>
        <v>-9.4170793154374072E-2</v>
      </c>
      <c r="N35" s="5">
        <v>77669</v>
      </c>
      <c r="O35" s="36">
        <f t="shared" si="5"/>
        <v>1.8850351558400671E-2</v>
      </c>
      <c r="P35" s="3">
        <v>25839</v>
      </c>
      <c r="Q35" s="9">
        <f t="shared" si="11"/>
        <v>-8.3333333333333329E-2</v>
      </c>
      <c r="R35" s="7">
        <v>10482</v>
      </c>
      <c r="S35" s="37">
        <f t="shared" si="6"/>
        <v>0.1336794289422453</v>
      </c>
      <c r="T35" s="5">
        <v>36325</v>
      </c>
      <c r="U35" s="36">
        <f t="shared" si="7"/>
        <v>0.12231971822282642</v>
      </c>
      <c r="V35" s="5">
        <v>361</v>
      </c>
      <c r="W35" s="37"/>
      <c r="X35" s="13">
        <v>42158</v>
      </c>
      <c r="Y35" s="9">
        <f t="shared" si="8"/>
        <v>5.9246231155778872E-2</v>
      </c>
      <c r="Z35" s="12"/>
      <c r="AA35" s="37"/>
      <c r="AB35" s="5">
        <v>22741</v>
      </c>
      <c r="AC35" s="36">
        <v>5.0489652623798967E-2</v>
      </c>
      <c r="AD35" s="3">
        <v>13686</v>
      </c>
      <c r="AE35" s="9">
        <f t="shared" si="9"/>
        <v>0.28870056497175139</v>
      </c>
      <c r="AF35" s="5">
        <v>1823</v>
      </c>
      <c r="AG35" s="36">
        <f t="shared" si="12"/>
        <v>-0.25439672801635993</v>
      </c>
      <c r="AH35" s="3"/>
      <c r="AI35" s="9"/>
      <c r="AJ35" s="426"/>
      <c r="AK35" s="435"/>
      <c r="AL35" s="5"/>
      <c r="AM35" s="37"/>
      <c r="AN35" s="5">
        <v>2143</v>
      </c>
      <c r="AO35" s="9"/>
      <c r="AP35" s="426"/>
      <c r="AQ35" s="438"/>
      <c r="AR35" s="5">
        <v>13</v>
      </c>
      <c r="AS35" s="99" t="str">
        <f t="shared" si="13"/>
        <v>-</v>
      </c>
      <c r="AT35" s="38"/>
      <c r="AU35" s="39"/>
      <c r="AV35" s="412"/>
      <c r="AW35" s="415"/>
      <c r="AX35" s="5"/>
      <c r="AY35" s="9"/>
      <c r="AZ35" s="38"/>
      <c r="BA35" s="39"/>
      <c r="BB35" s="5"/>
      <c r="BC35" s="238"/>
    </row>
    <row r="36" spans="1:55" s="157" customFormat="1" ht="13.5" customHeight="1">
      <c r="A36" s="461"/>
      <c r="B36" s="15" t="s">
        <v>25</v>
      </c>
      <c r="C36" s="3">
        <v>1098740</v>
      </c>
      <c r="D36" s="9">
        <f t="shared" si="0"/>
        <v>7.6397222845398072E-2</v>
      </c>
      <c r="E36" s="178"/>
      <c r="F36" s="5">
        <v>197622</v>
      </c>
      <c r="G36" s="36">
        <f t="shared" si="1"/>
        <v>0.15961741579626804</v>
      </c>
      <c r="H36" s="3">
        <v>363925</v>
      </c>
      <c r="I36" s="9">
        <f t="shared" si="2"/>
        <v>8.2948965927689328E-2</v>
      </c>
      <c r="J36" s="5">
        <v>14462</v>
      </c>
      <c r="K36" s="36">
        <f t="shared" si="3"/>
        <v>1.5803891269228067E-2</v>
      </c>
      <c r="L36" s="7">
        <v>60239</v>
      </c>
      <c r="M36" s="37">
        <f t="shared" si="4"/>
        <v>3.8907955780142459E-2</v>
      </c>
      <c r="N36" s="5">
        <v>89563</v>
      </c>
      <c r="O36" s="36">
        <f t="shared" si="5"/>
        <v>8.2423890842729899E-2</v>
      </c>
      <c r="P36" s="3">
        <v>28534</v>
      </c>
      <c r="Q36" s="9">
        <f t="shared" si="11"/>
        <v>0.11356540743053388</v>
      </c>
      <c r="R36" s="7">
        <v>13314</v>
      </c>
      <c r="S36" s="37">
        <f t="shared" si="6"/>
        <v>0.3008304836345872</v>
      </c>
      <c r="T36" s="5">
        <v>45671</v>
      </c>
      <c r="U36" s="36">
        <f t="shared" si="7"/>
        <v>6.3080468331742745E-2</v>
      </c>
      <c r="V36" s="5">
        <v>581</v>
      </c>
      <c r="W36" s="37"/>
      <c r="X36" s="13">
        <v>53891</v>
      </c>
      <c r="Y36" s="9">
        <f t="shared" si="8"/>
        <v>0.14018830001057858</v>
      </c>
      <c r="Z36" s="12"/>
      <c r="AA36" s="37"/>
      <c r="AB36" s="5">
        <v>23438</v>
      </c>
      <c r="AC36" s="36">
        <v>-0.22585546307306117</v>
      </c>
      <c r="AD36" s="3">
        <v>15781</v>
      </c>
      <c r="AE36" s="9">
        <f t="shared" si="9"/>
        <v>-2.7485055771245454E-2</v>
      </c>
      <c r="AF36" s="5">
        <v>1704</v>
      </c>
      <c r="AG36" s="36">
        <f t="shared" si="12"/>
        <v>6.4973419964559952E-3</v>
      </c>
      <c r="AH36" s="3"/>
      <c r="AI36" s="9"/>
      <c r="AJ36" s="426">
        <v>14177</v>
      </c>
      <c r="AK36" s="435"/>
      <c r="AL36" s="5"/>
      <c r="AM36" s="37"/>
      <c r="AN36" s="5">
        <v>2857</v>
      </c>
      <c r="AO36" s="9"/>
      <c r="AP36" s="426">
        <f>AP168*0.239</f>
        <v>16827.273000000001</v>
      </c>
      <c r="AQ36" s="427">
        <f>(AP36/AP24-1)</f>
        <v>0.33301854843788581</v>
      </c>
      <c r="AR36" s="5">
        <v>0</v>
      </c>
      <c r="AS36" s="99" t="str">
        <f t="shared" si="13"/>
        <v>-</v>
      </c>
      <c r="AT36" s="38"/>
      <c r="AU36" s="39"/>
      <c r="AV36" s="412"/>
      <c r="AW36" s="415"/>
      <c r="AX36" s="5"/>
      <c r="AY36" s="9"/>
      <c r="AZ36" s="38"/>
      <c r="BA36" s="39"/>
      <c r="BB36" s="5"/>
      <c r="BC36" s="238"/>
    </row>
    <row r="37" spans="1:55" s="157" customFormat="1" ht="13.5" customHeight="1">
      <c r="A37" s="461"/>
      <c r="B37" s="15" t="s">
        <v>26</v>
      </c>
      <c r="C37" s="3">
        <v>1159874</v>
      </c>
      <c r="D37" s="9">
        <f t="shared" si="0"/>
        <v>8.3701691786050303E-2</v>
      </c>
      <c r="E37" s="178"/>
      <c r="F37" s="5">
        <v>220332</v>
      </c>
      <c r="G37" s="36">
        <f t="shared" si="1"/>
        <v>0.13996864636096007</v>
      </c>
      <c r="H37" s="3">
        <v>407126</v>
      </c>
      <c r="I37" s="9">
        <f t="shared" si="2"/>
        <v>3.4693436685939383E-2</v>
      </c>
      <c r="J37" s="5">
        <v>16598</v>
      </c>
      <c r="K37" s="36">
        <f t="shared" si="3"/>
        <v>3.1444195873726072E-2</v>
      </c>
      <c r="L37" s="7">
        <v>67950</v>
      </c>
      <c r="M37" s="37">
        <f t="shared" si="4"/>
        <v>9.7082519334162135E-2</v>
      </c>
      <c r="N37" s="5">
        <v>96122</v>
      </c>
      <c r="O37" s="36">
        <f t="shared" si="5"/>
        <v>9.1637990755567666E-2</v>
      </c>
      <c r="P37" s="3">
        <v>37756</v>
      </c>
      <c r="Q37" s="9">
        <f t="shared" si="11"/>
        <v>0.16502098247346333</v>
      </c>
      <c r="R37" s="7">
        <v>15697</v>
      </c>
      <c r="S37" s="37">
        <f t="shared" si="6"/>
        <v>0.34070720874615645</v>
      </c>
      <c r="T37" s="5">
        <v>44853</v>
      </c>
      <c r="U37" s="36">
        <f t="shared" si="7"/>
        <v>4.8187703021663433E-2</v>
      </c>
      <c r="V37" s="5">
        <v>637</v>
      </c>
      <c r="W37" s="37"/>
      <c r="X37" s="13">
        <v>47251</v>
      </c>
      <c r="Y37" s="9">
        <f t="shared" si="8"/>
        <v>1.9087262218004497E-2</v>
      </c>
      <c r="Z37" s="12"/>
      <c r="AA37" s="37"/>
      <c r="AB37" s="5">
        <v>25713</v>
      </c>
      <c r="AC37" s="36">
        <v>-6.4981818181818182E-2</v>
      </c>
      <c r="AD37" s="3">
        <v>18751</v>
      </c>
      <c r="AE37" s="9">
        <f t="shared" si="9"/>
        <v>3.7859080090773232E-2</v>
      </c>
      <c r="AF37" s="5">
        <v>974</v>
      </c>
      <c r="AG37" s="36">
        <f t="shared" si="12"/>
        <v>-0.7783340919435594</v>
      </c>
      <c r="AH37" s="3"/>
      <c r="AI37" s="9"/>
      <c r="AJ37" s="426"/>
      <c r="AK37" s="435"/>
      <c r="AL37" s="5"/>
      <c r="AM37" s="37"/>
      <c r="AN37" s="5">
        <v>3096</v>
      </c>
      <c r="AO37" s="9"/>
      <c r="AP37" s="426"/>
      <c r="AQ37" s="427"/>
      <c r="AR37" s="5">
        <v>0</v>
      </c>
      <c r="AS37" s="99" t="str">
        <f t="shared" si="13"/>
        <v>-</v>
      </c>
      <c r="AT37" s="38"/>
      <c r="AU37" s="39"/>
      <c r="AV37" s="412"/>
      <c r="AW37" s="415"/>
      <c r="AX37" s="5"/>
      <c r="AY37" s="9"/>
      <c r="AZ37" s="38"/>
      <c r="BA37" s="39"/>
      <c r="BB37" s="5"/>
      <c r="BC37" s="238"/>
    </row>
    <row r="38" spans="1:55" s="157" customFormat="1" ht="13.5" customHeight="1">
      <c r="A38" s="461"/>
      <c r="B38" s="15" t="s">
        <v>27</v>
      </c>
      <c r="C38" s="3">
        <v>931946</v>
      </c>
      <c r="D38" s="9">
        <f t="shared" si="0"/>
        <v>0.18636265847197311</v>
      </c>
      <c r="E38" s="178"/>
      <c r="F38" s="5">
        <v>156451</v>
      </c>
      <c r="G38" s="36">
        <f t="shared" si="1"/>
        <v>0.20098411747998374</v>
      </c>
      <c r="H38" s="3">
        <v>334169</v>
      </c>
      <c r="I38" s="9">
        <f t="shared" si="2"/>
        <v>0.17441835945736978</v>
      </c>
      <c r="J38" s="5">
        <v>13004</v>
      </c>
      <c r="K38" s="36">
        <f t="shared" si="3"/>
        <v>7.8633045786330458E-2</v>
      </c>
      <c r="L38" s="7">
        <v>51784</v>
      </c>
      <c r="M38" s="37">
        <f t="shared" si="4"/>
        <v>-4.8045508705846177E-3</v>
      </c>
      <c r="N38" s="5">
        <v>68166</v>
      </c>
      <c r="O38" s="36">
        <f t="shared" si="5"/>
        <v>0.15940402081845087</v>
      </c>
      <c r="P38" s="3">
        <v>32012</v>
      </c>
      <c r="Q38" s="9">
        <f t="shared" si="11"/>
        <v>0.39334058759521218</v>
      </c>
      <c r="R38" s="7">
        <v>9321</v>
      </c>
      <c r="S38" s="37">
        <f t="shared" si="6"/>
        <v>0.23407917383820998</v>
      </c>
      <c r="T38" s="5">
        <v>29314</v>
      </c>
      <c r="U38" s="36">
        <f t="shared" si="7"/>
        <v>0.14633192554356328</v>
      </c>
      <c r="V38" s="5">
        <v>411</v>
      </c>
      <c r="W38" s="37"/>
      <c r="X38" s="13">
        <v>37921</v>
      </c>
      <c r="Y38" s="9">
        <f t="shared" si="8"/>
        <v>0.24408648010235878</v>
      </c>
      <c r="Z38" s="12"/>
      <c r="AA38" s="37"/>
      <c r="AB38" s="5">
        <v>22375</v>
      </c>
      <c r="AC38" s="36">
        <v>7.365642994241843E-2</v>
      </c>
      <c r="AD38" s="3">
        <v>14846</v>
      </c>
      <c r="AE38" s="9">
        <f t="shared" si="9"/>
        <v>2.9185441941074523E-2</v>
      </c>
      <c r="AF38" s="5">
        <v>1068</v>
      </c>
      <c r="AG38" s="36">
        <f t="shared" si="12"/>
        <v>-2.8011204481792717E-3</v>
      </c>
      <c r="AH38" s="3"/>
      <c r="AI38" s="9"/>
      <c r="AJ38" s="426"/>
      <c r="AK38" s="435"/>
      <c r="AL38" s="5"/>
      <c r="AM38" s="37"/>
      <c r="AN38" s="5">
        <v>872</v>
      </c>
      <c r="AO38" s="9"/>
      <c r="AP38" s="426"/>
      <c r="AQ38" s="427"/>
      <c r="AR38" s="5">
        <v>16</v>
      </c>
      <c r="AS38" s="99" t="str">
        <f t="shared" si="13"/>
        <v>-</v>
      </c>
      <c r="AT38" s="38"/>
      <c r="AU38" s="39"/>
      <c r="AV38" s="412"/>
      <c r="AW38" s="415"/>
      <c r="AX38" s="5"/>
      <c r="AY38" s="9"/>
      <c r="AZ38" s="38"/>
      <c r="BA38" s="39"/>
      <c r="BB38" s="5"/>
      <c r="BC38" s="238"/>
    </row>
    <row r="39" spans="1:55" s="157" customFormat="1" ht="13.5" customHeight="1">
      <c r="A39" s="461"/>
      <c r="B39" s="15" t="s">
        <v>28</v>
      </c>
      <c r="C39" s="3">
        <v>984649</v>
      </c>
      <c r="D39" s="9">
        <f t="shared" si="0"/>
        <v>0.16102220524285216</v>
      </c>
      <c r="E39" s="178"/>
      <c r="F39" s="5">
        <v>187601</v>
      </c>
      <c r="G39" s="36">
        <f t="shared" si="1"/>
        <v>0.27924309580634166</v>
      </c>
      <c r="H39" s="3">
        <v>371216</v>
      </c>
      <c r="I39" s="9">
        <f t="shared" si="2"/>
        <v>0.18179879087329001</v>
      </c>
      <c r="J39" s="5">
        <v>16737</v>
      </c>
      <c r="K39" s="36">
        <f t="shared" si="3"/>
        <v>0.19082177161152614</v>
      </c>
      <c r="L39" s="7">
        <v>61428</v>
      </c>
      <c r="M39" s="37">
        <f t="shared" si="4"/>
        <v>7.4235349666859032E-2</v>
      </c>
      <c r="N39" s="5">
        <v>77956</v>
      </c>
      <c r="O39" s="36">
        <f t="shared" si="5"/>
        <v>3.4859949555290058E-2</v>
      </c>
      <c r="P39" s="3">
        <v>32746</v>
      </c>
      <c r="Q39" s="9">
        <f t="shared" si="11"/>
        <v>0.18696534725242858</v>
      </c>
      <c r="R39" s="7">
        <v>11394</v>
      </c>
      <c r="S39" s="37">
        <f t="shared" si="6"/>
        <v>0.18761726078799248</v>
      </c>
      <c r="T39" s="5">
        <v>35012</v>
      </c>
      <c r="U39" s="36">
        <f t="shared" si="7"/>
        <v>0.16473719228210246</v>
      </c>
      <c r="V39" s="5">
        <v>232</v>
      </c>
      <c r="W39" s="37"/>
      <c r="X39" s="13">
        <v>46359</v>
      </c>
      <c r="Y39" s="9">
        <f t="shared" si="8"/>
        <v>0.10263057749024829</v>
      </c>
      <c r="Z39" s="12"/>
      <c r="AA39" s="37"/>
      <c r="AB39" s="5">
        <v>24307</v>
      </c>
      <c r="AC39" s="36">
        <v>0.34754407362235279</v>
      </c>
      <c r="AD39" s="3">
        <v>14249</v>
      </c>
      <c r="AE39" s="9">
        <f t="shared" si="9"/>
        <v>0.27200499910730225</v>
      </c>
      <c r="AF39" s="5">
        <v>1781</v>
      </c>
      <c r="AG39" s="36">
        <f t="shared" si="12"/>
        <v>-3.1011969532100107E-2</v>
      </c>
      <c r="AH39" s="3"/>
      <c r="AI39" s="9"/>
      <c r="AJ39" s="426"/>
      <c r="AK39" s="435"/>
      <c r="AL39" s="5"/>
      <c r="AM39" s="37"/>
      <c r="AN39" s="5">
        <v>1174</v>
      </c>
      <c r="AO39" s="9"/>
      <c r="AP39" s="426">
        <f>AP168*0.287</f>
        <v>20206.808999999997</v>
      </c>
      <c r="AQ39" s="427">
        <f>(AP39/AP27-1)</f>
        <v>0.41110331696562774</v>
      </c>
      <c r="AR39" s="5">
        <v>0</v>
      </c>
      <c r="AS39" s="99" t="str">
        <f t="shared" si="13"/>
        <v>-</v>
      </c>
      <c r="AT39" s="38"/>
      <c r="AU39" s="39"/>
      <c r="AV39" s="412"/>
      <c r="AW39" s="415"/>
      <c r="AX39" s="5"/>
      <c r="AY39" s="9"/>
      <c r="AZ39" s="38"/>
      <c r="BA39" s="39"/>
      <c r="BB39" s="5"/>
      <c r="BC39" s="238"/>
    </row>
    <row r="40" spans="1:55" s="157" customFormat="1" ht="13.5" customHeight="1">
      <c r="A40" s="461"/>
      <c r="B40" s="15" t="s">
        <v>29</v>
      </c>
      <c r="C40" s="3">
        <v>987488</v>
      </c>
      <c r="D40" s="9">
        <f t="shared" si="0"/>
        <v>0.25950121870181153</v>
      </c>
      <c r="E40" s="178"/>
      <c r="F40" s="5">
        <v>177298</v>
      </c>
      <c r="G40" s="36">
        <f t="shared" si="1"/>
        <v>0.26242861821962093</v>
      </c>
      <c r="H40" s="3">
        <v>333138</v>
      </c>
      <c r="I40" s="9">
        <f t="shared" si="2"/>
        <v>0.30417319135609144</v>
      </c>
      <c r="J40" s="5">
        <v>17763</v>
      </c>
      <c r="K40" s="36">
        <f t="shared" si="3"/>
        <v>0.16869530890190143</v>
      </c>
      <c r="L40" s="7">
        <v>64470</v>
      </c>
      <c r="M40" s="37">
        <f t="shared" si="4"/>
        <v>0.21378141767862185</v>
      </c>
      <c r="N40" s="5">
        <v>100890</v>
      </c>
      <c r="O40" s="36">
        <f t="shared" si="5"/>
        <v>0.23344947735191637</v>
      </c>
      <c r="P40" s="3">
        <v>39434</v>
      </c>
      <c r="Q40" s="9">
        <f t="shared" si="11"/>
        <v>0.42587503615851896</v>
      </c>
      <c r="R40" s="7">
        <v>13406</v>
      </c>
      <c r="S40" s="37">
        <f t="shared" si="6"/>
        <v>0.23330266789328427</v>
      </c>
      <c r="T40" s="5">
        <v>43778</v>
      </c>
      <c r="U40" s="36">
        <f t="shared" si="7"/>
        <v>0.39968667071650094</v>
      </c>
      <c r="V40" s="5">
        <v>441</v>
      </c>
      <c r="W40" s="37"/>
      <c r="X40" s="13">
        <v>58438</v>
      </c>
      <c r="Y40" s="9">
        <f t="shared" si="8"/>
        <v>0.22550068155604497</v>
      </c>
      <c r="Z40" s="12"/>
      <c r="AA40" s="37"/>
      <c r="AB40" s="5">
        <v>32861</v>
      </c>
      <c r="AC40" s="36">
        <v>6.2225239203516941E-2</v>
      </c>
      <c r="AD40" s="3">
        <v>19820</v>
      </c>
      <c r="AE40" s="9">
        <f t="shared" si="9"/>
        <v>0.39498873873873874</v>
      </c>
      <c r="AF40" s="5">
        <v>1682</v>
      </c>
      <c r="AG40" s="36">
        <f t="shared" si="12"/>
        <v>0.85446527012127893</v>
      </c>
      <c r="AH40" s="3"/>
      <c r="AI40" s="9"/>
      <c r="AJ40" s="426"/>
      <c r="AK40" s="435"/>
      <c r="AL40" s="5"/>
      <c r="AM40" s="37"/>
      <c r="AN40" s="5">
        <v>1396</v>
      </c>
      <c r="AO40" s="9"/>
      <c r="AP40" s="426"/>
      <c r="AQ40" s="427"/>
      <c r="AR40" s="5">
        <v>10</v>
      </c>
      <c r="AS40" s="99">
        <f t="shared" si="13"/>
        <v>-0.5</v>
      </c>
      <c r="AT40" s="38"/>
      <c r="AU40" s="39"/>
      <c r="AV40" s="412"/>
      <c r="AW40" s="415"/>
      <c r="AX40" s="5"/>
      <c r="AY40" s="9"/>
      <c r="AZ40" s="38"/>
      <c r="BA40" s="39"/>
      <c r="BB40" s="5"/>
      <c r="BC40" s="238"/>
    </row>
    <row r="41" spans="1:55" s="157" customFormat="1" ht="13.5" customHeight="1">
      <c r="A41" s="462"/>
      <c r="B41" s="15" t="s">
        <v>30</v>
      </c>
      <c r="C41" s="52">
        <v>1015874</v>
      </c>
      <c r="D41" s="9">
        <f t="shared" si="0"/>
        <v>0.28480891788218005</v>
      </c>
      <c r="E41" s="178"/>
      <c r="F41" s="5">
        <v>184678</v>
      </c>
      <c r="G41" s="36">
        <f t="shared" si="1"/>
        <v>0.30041192831743124</v>
      </c>
      <c r="H41" s="3">
        <v>327636</v>
      </c>
      <c r="I41" s="9">
        <f t="shared" si="2"/>
        <v>0.39971120244025393</v>
      </c>
      <c r="J41" s="5">
        <v>19040</v>
      </c>
      <c r="K41" s="36">
        <f t="shared" si="3"/>
        <v>0.32176327664005555</v>
      </c>
      <c r="L41" s="7">
        <v>79203</v>
      </c>
      <c r="M41" s="37">
        <f t="shared" si="4"/>
        <v>0.36359410508918116</v>
      </c>
      <c r="N41" s="5">
        <v>101641</v>
      </c>
      <c r="O41" s="36">
        <f t="shared" si="5"/>
        <v>0.20497682303707129</v>
      </c>
      <c r="P41" s="3">
        <v>43428</v>
      </c>
      <c r="Q41" s="9">
        <f t="shared" si="11"/>
        <v>0.58080955154338965</v>
      </c>
      <c r="R41" s="7">
        <v>18951</v>
      </c>
      <c r="S41" s="37">
        <f t="shared" si="6"/>
        <v>0.30886110919262377</v>
      </c>
      <c r="T41" s="5">
        <v>36113</v>
      </c>
      <c r="U41" s="36">
        <f t="shared" si="7"/>
        <v>0.10137546128274726</v>
      </c>
      <c r="V41" s="42">
        <v>345</v>
      </c>
      <c r="W41" s="37"/>
      <c r="X41" s="50">
        <v>60856</v>
      </c>
      <c r="Y41" s="19">
        <f t="shared" si="8"/>
        <v>0.20166656793633875</v>
      </c>
      <c r="Z41" s="12"/>
      <c r="AA41" s="37"/>
      <c r="AB41" s="42">
        <v>29039</v>
      </c>
      <c r="AC41" s="36">
        <v>0.6316794965443614</v>
      </c>
      <c r="AD41" s="3">
        <v>17128</v>
      </c>
      <c r="AE41" s="9">
        <f t="shared" si="9"/>
        <v>0.17299000136967538</v>
      </c>
      <c r="AF41" s="42">
        <v>1214</v>
      </c>
      <c r="AG41" s="43">
        <f t="shared" si="12"/>
        <v>-0.34200542005420054</v>
      </c>
      <c r="AH41" s="3"/>
      <c r="AI41" s="9"/>
      <c r="AJ41" s="433"/>
      <c r="AK41" s="436"/>
      <c r="AL41" s="42"/>
      <c r="AM41" s="37"/>
      <c r="AN41" s="42">
        <v>1379</v>
      </c>
      <c r="AO41" s="19"/>
      <c r="AP41" s="426"/>
      <c r="AQ41" s="427"/>
      <c r="AR41" s="42">
        <v>0</v>
      </c>
      <c r="AS41" s="99" t="str">
        <f t="shared" si="13"/>
        <v>-</v>
      </c>
      <c r="AT41" s="46"/>
      <c r="AU41" s="47"/>
      <c r="AV41" s="413"/>
      <c r="AW41" s="416"/>
      <c r="AX41" s="42"/>
      <c r="AY41" s="9"/>
      <c r="AZ41" s="46"/>
      <c r="BA41" s="47"/>
      <c r="BB41" s="42"/>
      <c r="BC41" s="238"/>
    </row>
    <row r="42" spans="1:55" s="157" customFormat="1" ht="13.5" customHeight="1">
      <c r="A42" s="457" t="s">
        <v>137</v>
      </c>
      <c r="B42" s="2" t="s">
        <v>132</v>
      </c>
      <c r="C42" s="23">
        <v>1281530</v>
      </c>
      <c r="D42" s="24">
        <f t="shared" si="0"/>
        <v>0.30066670929384026</v>
      </c>
      <c r="E42" s="178"/>
      <c r="F42" s="23">
        <v>240350</v>
      </c>
      <c r="G42" s="24">
        <f t="shared" si="1"/>
        <v>0.2479879536839919</v>
      </c>
      <c r="H42" s="23">
        <v>410312</v>
      </c>
      <c r="I42" s="24">
        <f t="shared" si="2"/>
        <v>0.52708893925691036</v>
      </c>
      <c r="J42" s="23">
        <v>24548</v>
      </c>
      <c r="K42" s="24">
        <f t="shared" si="3"/>
        <v>0.22733863306834659</v>
      </c>
      <c r="L42" s="27">
        <v>79438</v>
      </c>
      <c r="M42" s="28">
        <f t="shared" si="4"/>
        <v>0.3082028226536897</v>
      </c>
      <c r="N42" s="23">
        <v>126492</v>
      </c>
      <c r="O42" s="24">
        <f t="shared" si="5"/>
        <v>6.3682002034998617E-2</v>
      </c>
      <c r="P42" s="23">
        <v>48442</v>
      </c>
      <c r="Q42" s="24">
        <f t="shared" si="11"/>
        <v>0.24985809381289023</v>
      </c>
      <c r="R42" s="27">
        <v>25627</v>
      </c>
      <c r="S42" s="28">
        <f t="shared" si="6"/>
        <v>0.38892200964717361</v>
      </c>
      <c r="T42" s="23">
        <v>46725</v>
      </c>
      <c r="U42" s="24">
        <f t="shared" si="7"/>
        <v>0.15074869470988081</v>
      </c>
      <c r="V42" s="3">
        <v>759</v>
      </c>
      <c r="W42" s="28">
        <f t="shared" ref="W42:W53" si="14">(V42-V30)/V30</f>
        <v>0.15</v>
      </c>
      <c r="X42" s="13">
        <v>70733</v>
      </c>
      <c r="Y42" s="9">
        <f t="shared" si="8"/>
        <v>0.20739805062902206</v>
      </c>
      <c r="Z42" s="32">
        <v>47808</v>
      </c>
      <c r="AA42" s="28"/>
      <c r="AB42" s="23">
        <v>33501</v>
      </c>
      <c r="AC42" s="24">
        <v>0.39657328664332164</v>
      </c>
      <c r="AD42" s="23">
        <v>27254</v>
      </c>
      <c r="AE42" s="24">
        <f t="shared" si="9"/>
        <v>0.81077669257856622</v>
      </c>
      <c r="AF42" s="3">
        <v>4910</v>
      </c>
      <c r="AG42" s="26">
        <f>(AF42-AF30)/AF30</f>
        <v>0.35822959889349931</v>
      </c>
      <c r="AH42" s="23"/>
      <c r="AI42" s="24"/>
      <c r="AJ42" s="440">
        <v>11657</v>
      </c>
      <c r="AK42" s="437">
        <f>(SUM(AJ42:AJ47)/AJ30-1)</f>
        <v>-0.54735370636430702</v>
      </c>
      <c r="AL42" s="3"/>
      <c r="AM42" s="28"/>
      <c r="AN42" s="3">
        <v>2405</v>
      </c>
      <c r="AO42" s="9">
        <f>(AN42/AN30-1)</f>
        <v>0.82750759878419444</v>
      </c>
      <c r="AP42" s="440">
        <f>AP169*0.322</f>
        <v>27235.726000000002</v>
      </c>
      <c r="AQ42" s="455">
        <f>(AP42/AP30-1)</f>
        <v>0.20508611987966541</v>
      </c>
      <c r="AR42" s="3">
        <v>0</v>
      </c>
      <c r="AS42" s="138" t="str">
        <f>IFERROR(AR42/AR30-1,"-")</f>
        <v>-</v>
      </c>
      <c r="AT42" s="29"/>
      <c r="AU42" s="30"/>
      <c r="AV42" s="411">
        <v>12811</v>
      </c>
      <c r="AW42" s="414">
        <f>AV42/AV30-1</f>
        <v>8.3474289580514283E-2</v>
      </c>
      <c r="AX42" s="3"/>
      <c r="AY42" s="24"/>
      <c r="AZ42" s="23">
        <v>2548</v>
      </c>
      <c r="BA42" s="30"/>
      <c r="BB42" s="3">
        <v>178</v>
      </c>
      <c r="BC42" s="237"/>
    </row>
    <row r="43" spans="1:55" s="157" customFormat="1" ht="13.5" customHeight="1">
      <c r="A43" s="461"/>
      <c r="B43" s="15" t="s">
        <v>44</v>
      </c>
      <c r="C43" s="3">
        <v>982591</v>
      </c>
      <c r="D43" s="9">
        <f t="shared" si="0"/>
        <v>4.0223545304024153E-2</v>
      </c>
      <c r="E43" s="178"/>
      <c r="F43" s="3">
        <v>202365</v>
      </c>
      <c r="G43" s="9">
        <f t="shared" si="1"/>
        <v>0.16142195490102676</v>
      </c>
      <c r="H43" s="3">
        <v>349648</v>
      </c>
      <c r="I43" s="9">
        <f t="shared" si="2"/>
        <v>8.5833004667571405E-2</v>
      </c>
      <c r="J43" s="3">
        <v>18583</v>
      </c>
      <c r="K43" s="9">
        <f t="shared" si="3"/>
        <v>3.5100982827519171E-3</v>
      </c>
      <c r="L43" s="7">
        <v>64272</v>
      </c>
      <c r="M43" s="37">
        <f t="shared" si="4"/>
        <v>8.9115957500889631E-2</v>
      </c>
      <c r="N43" s="3">
        <v>86443</v>
      </c>
      <c r="O43" s="9">
        <f t="shared" si="5"/>
        <v>-0.24078237804985156</v>
      </c>
      <c r="P43" s="3">
        <v>44722</v>
      </c>
      <c r="Q43" s="9">
        <f t="shared" si="11"/>
        <v>5.8985105728019703E-2</v>
      </c>
      <c r="R43" s="7">
        <v>16886</v>
      </c>
      <c r="S43" s="37">
        <f t="shared" si="6"/>
        <v>-7.2197802197802197E-2</v>
      </c>
      <c r="T43" s="3">
        <v>31395</v>
      </c>
      <c r="U43" s="9">
        <f t="shared" si="7"/>
        <v>-0.23117423778621279</v>
      </c>
      <c r="V43" s="3">
        <v>396</v>
      </c>
      <c r="W43" s="9">
        <f t="shared" si="14"/>
        <v>-0.12195121951219512</v>
      </c>
      <c r="X43" s="13">
        <v>49579</v>
      </c>
      <c r="Y43" s="9">
        <f t="shared" si="8"/>
        <v>3.9871638911028073E-2</v>
      </c>
      <c r="Z43" s="12">
        <v>34676</v>
      </c>
      <c r="AA43" s="37"/>
      <c r="AB43" s="3">
        <v>22552</v>
      </c>
      <c r="AC43" s="9">
        <v>-4.5256339697726598E-2</v>
      </c>
      <c r="AD43" s="3">
        <v>19973</v>
      </c>
      <c r="AE43" s="9">
        <f t="shared" si="9"/>
        <v>0.12809940694719005</v>
      </c>
      <c r="AF43" s="3">
        <v>4526</v>
      </c>
      <c r="AG43" s="36">
        <f t="shared" ref="AG43:AG53" si="15">(AF43-AF31)/AF31</f>
        <v>-0.21722587340020755</v>
      </c>
      <c r="AH43" s="3"/>
      <c r="AI43" s="9"/>
      <c r="AJ43" s="426"/>
      <c r="AK43" s="438"/>
      <c r="AL43" s="3"/>
      <c r="AM43" s="37"/>
      <c r="AN43" s="3">
        <v>1348</v>
      </c>
      <c r="AO43" s="9">
        <f t="shared" ref="AO43:AO53" si="16">(AN43/AN31-1)</f>
        <v>0.19609582963620231</v>
      </c>
      <c r="AP43" s="426"/>
      <c r="AQ43" s="430"/>
      <c r="AR43" s="3">
        <v>0</v>
      </c>
      <c r="AS43" s="99" t="str">
        <f t="shared" si="13"/>
        <v>-</v>
      </c>
      <c r="AT43" s="38"/>
      <c r="AU43" s="39"/>
      <c r="AV43" s="412"/>
      <c r="AW43" s="415"/>
      <c r="AX43" s="3"/>
      <c r="AY43" s="9"/>
      <c r="AZ43" s="3">
        <v>1261</v>
      </c>
      <c r="BA43" s="39"/>
      <c r="BB43" s="3">
        <v>115</v>
      </c>
      <c r="BC43" s="238"/>
    </row>
    <row r="44" spans="1:55" s="157" customFormat="1" ht="13.5" customHeight="1">
      <c r="A44" s="461"/>
      <c r="B44" s="15" t="s">
        <v>138</v>
      </c>
      <c r="C44" s="3">
        <v>1046055</v>
      </c>
      <c r="D44" s="9">
        <v>0.27</v>
      </c>
      <c r="E44" s="178"/>
      <c r="F44" s="3">
        <v>188721</v>
      </c>
      <c r="G44" s="9">
        <f t="shared" si="1"/>
        <v>0.26598064009767158</v>
      </c>
      <c r="H44" s="3">
        <v>392147</v>
      </c>
      <c r="I44" s="9">
        <f t="shared" si="2"/>
        <v>0.45226182760855477</v>
      </c>
      <c r="J44" s="3">
        <v>20390</v>
      </c>
      <c r="K44" s="9">
        <f t="shared" si="3"/>
        <v>0.27676894176581091</v>
      </c>
      <c r="L44" s="7">
        <v>64220</v>
      </c>
      <c r="M44" s="37">
        <f t="shared" si="4"/>
        <v>0.1913993655269651</v>
      </c>
      <c r="N44" s="3">
        <v>96387</v>
      </c>
      <c r="O44" s="9">
        <f t="shared" si="5"/>
        <v>4.8277287162309133E-2</v>
      </c>
      <c r="P44" s="3">
        <v>49367</v>
      </c>
      <c r="Q44" s="9">
        <f t="shared" si="11"/>
        <v>0.21506805483767752</v>
      </c>
      <c r="R44" s="7">
        <v>14218</v>
      </c>
      <c r="S44" s="37">
        <f t="shared" si="6"/>
        <v>0.15791188207508755</v>
      </c>
      <c r="T44" s="3">
        <v>41943</v>
      </c>
      <c r="U44" s="9">
        <f t="shared" si="7"/>
        <v>0.16044156706507304</v>
      </c>
      <c r="V44" s="3">
        <v>289</v>
      </c>
      <c r="W44" s="9">
        <f t="shared" si="14"/>
        <v>-0.40041493775933612</v>
      </c>
      <c r="X44" s="13">
        <v>51404</v>
      </c>
      <c r="Y44" s="9">
        <f t="shared" si="8"/>
        <v>0.33492611732931676</v>
      </c>
      <c r="Z44" s="12">
        <v>38827</v>
      </c>
      <c r="AA44" s="37"/>
      <c r="AB44" s="3">
        <v>26946</v>
      </c>
      <c r="AC44" s="9">
        <v>0.1920371599203716</v>
      </c>
      <c r="AD44" s="3">
        <v>19756</v>
      </c>
      <c r="AE44" s="9">
        <f t="shared" si="9"/>
        <v>0.27220039925301048</v>
      </c>
      <c r="AF44" s="3">
        <v>3730</v>
      </c>
      <c r="AG44" s="36">
        <f t="shared" si="15"/>
        <v>4.7752808988764044E-2</v>
      </c>
      <c r="AH44" s="3"/>
      <c r="AI44" s="9"/>
      <c r="AJ44" s="426"/>
      <c r="AK44" s="438"/>
      <c r="AL44" s="3"/>
      <c r="AM44" s="37"/>
      <c r="AN44" s="3">
        <v>1541</v>
      </c>
      <c r="AO44" s="9">
        <f t="shared" si="16"/>
        <v>0.38206278026905838</v>
      </c>
      <c r="AP44" s="426"/>
      <c r="AQ44" s="430"/>
      <c r="AR44" s="3">
        <v>16</v>
      </c>
      <c r="AS44" s="99" t="str">
        <f t="shared" si="13"/>
        <v>-</v>
      </c>
      <c r="AT44" s="38"/>
      <c r="AU44" s="39"/>
      <c r="AV44" s="412"/>
      <c r="AW44" s="415"/>
      <c r="AX44" s="3"/>
      <c r="AY44" s="9"/>
      <c r="AZ44" s="3">
        <v>996</v>
      </c>
      <c r="BA44" s="39"/>
      <c r="BB44" s="3">
        <v>105</v>
      </c>
      <c r="BC44" s="238"/>
    </row>
    <row r="45" spans="1:55" s="157" customFormat="1" ht="13.5" customHeight="1">
      <c r="A45" s="461"/>
      <c r="B45" s="15" t="s">
        <v>139</v>
      </c>
      <c r="C45" s="3">
        <v>989018</v>
      </c>
      <c r="D45" s="9">
        <v>0.157</v>
      </c>
      <c r="E45" s="178"/>
      <c r="F45" s="3">
        <v>190558</v>
      </c>
      <c r="G45" s="9">
        <f t="shared" si="1"/>
        <v>0.17153273452725673</v>
      </c>
      <c r="H45" s="3">
        <v>372435</v>
      </c>
      <c r="I45" s="9">
        <f t="shared" si="2"/>
        <v>0.25669369451446039</v>
      </c>
      <c r="J45" s="3">
        <v>16312</v>
      </c>
      <c r="K45" s="9">
        <f t="shared" si="3"/>
        <v>0.19222335915801783</v>
      </c>
      <c r="L45" s="7">
        <v>59216</v>
      </c>
      <c r="M45" s="37">
        <f t="shared" si="4"/>
        <v>7.456402997804272E-2</v>
      </c>
      <c r="N45" s="3">
        <v>76757</v>
      </c>
      <c r="O45" s="9">
        <f t="shared" si="5"/>
        <v>5.4228940439856963E-3</v>
      </c>
      <c r="P45" s="3">
        <v>45000</v>
      </c>
      <c r="Q45" s="9">
        <f t="shared" si="11"/>
        <v>0.3520822065981612</v>
      </c>
      <c r="R45" s="7">
        <v>13901</v>
      </c>
      <c r="S45" s="37">
        <f t="shared" si="6"/>
        <v>0.32277095822628221</v>
      </c>
      <c r="T45" s="3">
        <v>32193</v>
      </c>
      <c r="U45" s="9">
        <f t="shared" si="7"/>
        <v>1.3154996066089693E-2</v>
      </c>
      <c r="V45" s="5">
        <v>306</v>
      </c>
      <c r="W45" s="9">
        <f t="shared" si="14"/>
        <v>-4.9689440993788817E-2</v>
      </c>
      <c r="X45" s="13">
        <v>41378</v>
      </c>
      <c r="Y45" s="9">
        <f t="shared" si="8"/>
        <v>5.7855042822446689E-2</v>
      </c>
      <c r="Z45" s="12">
        <v>28858</v>
      </c>
      <c r="AA45" s="37"/>
      <c r="AB45" s="3">
        <v>24052</v>
      </c>
      <c r="AC45" s="9">
        <v>4.1843541540327468E-2</v>
      </c>
      <c r="AD45" s="3">
        <v>16230</v>
      </c>
      <c r="AE45" s="9">
        <f t="shared" si="9"/>
        <v>0.14030773554415793</v>
      </c>
      <c r="AF45" s="5">
        <v>3669</v>
      </c>
      <c r="AG45" s="36">
        <f t="shared" si="15"/>
        <v>0.37932330827067667</v>
      </c>
      <c r="AH45" s="3"/>
      <c r="AI45" s="9"/>
      <c r="AJ45" s="426"/>
      <c r="AK45" s="438"/>
      <c r="AL45" s="5"/>
      <c r="AM45" s="37"/>
      <c r="AN45" s="5">
        <v>961</v>
      </c>
      <c r="AO45" s="9">
        <f t="shared" si="16"/>
        <v>0.40497076023391809</v>
      </c>
      <c r="AP45" s="426">
        <f>AP169*0.172</f>
        <v>14548.275999999998</v>
      </c>
      <c r="AQ45" s="438">
        <f>(AP45/AP33-1)</f>
        <v>0.35053007856931906</v>
      </c>
      <c r="AR45" s="5">
        <v>15</v>
      </c>
      <c r="AS45" s="99" t="str">
        <f t="shared" si="13"/>
        <v>-</v>
      </c>
      <c r="AT45" s="38"/>
      <c r="AU45" s="39"/>
      <c r="AV45" s="412"/>
      <c r="AW45" s="415"/>
      <c r="AX45" s="5"/>
      <c r="AY45" s="9"/>
      <c r="AZ45" s="3">
        <v>677</v>
      </c>
      <c r="BA45" s="39"/>
      <c r="BB45" s="5">
        <v>65</v>
      </c>
      <c r="BC45" s="238"/>
    </row>
    <row r="46" spans="1:55" s="157" customFormat="1" ht="13.5" customHeight="1">
      <c r="A46" s="461"/>
      <c r="B46" s="15" t="s">
        <v>140</v>
      </c>
      <c r="C46" s="3">
        <v>1107498</v>
      </c>
      <c r="D46" s="9">
        <v>0.222</v>
      </c>
      <c r="E46" s="178"/>
      <c r="F46" s="3">
        <v>211355</v>
      </c>
      <c r="G46" s="9">
        <f t="shared" si="1"/>
        <v>0.31211199404022844</v>
      </c>
      <c r="H46" s="3">
        <v>418467</v>
      </c>
      <c r="I46" s="9">
        <f t="shared" si="2"/>
        <v>0.31381038196123245</v>
      </c>
      <c r="J46" s="3">
        <v>17487</v>
      </c>
      <c r="K46" s="9">
        <f t="shared" si="3"/>
        <v>0.2484472049689441</v>
      </c>
      <c r="L46" s="7">
        <v>65183</v>
      </c>
      <c r="M46" s="37">
        <f t="shared" si="4"/>
        <v>0.23445637558472057</v>
      </c>
      <c r="N46" s="3">
        <v>82439</v>
      </c>
      <c r="O46" s="9">
        <f t="shared" si="5"/>
        <v>3.4262558337933458E-2</v>
      </c>
      <c r="P46" s="3">
        <v>35698</v>
      </c>
      <c r="Q46" s="9">
        <f t="shared" si="11"/>
        <v>0.31460136254833365</v>
      </c>
      <c r="R46" s="7">
        <v>15983</v>
      </c>
      <c r="S46" s="37">
        <f t="shared" si="6"/>
        <v>0.49304063521718822</v>
      </c>
      <c r="T46" s="3">
        <v>34393</v>
      </c>
      <c r="U46" s="9">
        <f t="shared" si="7"/>
        <v>4.5564739901276397E-3</v>
      </c>
      <c r="V46" s="5">
        <v>246</v>
      </c>
      <c r="W46" s="9">
        <f t="shared" si="14"/>
        <v>-0.34399999999999997</v>
      </c>
      <c r="X46" s="13">
        <v>50686</v>
      </c>
      <c r="Y46" s="9">
        <f t="shared" si="8"/>
        <v>0.2250096674400619</v>
      </c>
      <c r="Z46" s="12">
        <v>24837</v>
      </c>
      <c r="AA46" s="37"/>
      <c r="AB46" s="3">
        <v>29589</v>
      </c>
      <c r="AC46" s="9">
        <v>0.20998609634415638</v>
      </c>
      <c r="AD46" s="3">
        <v>13222</v>
      </c>
      <c r="AE46" s="9">
        <f t="shared" si="9"/>
        <v>4.2333464722112732E-2</v>
      </c>
      <c r="AF46" s="5">
        <v>2630</v>
      </c>
      <c r="AG46" s="36">
        <f t="shared" si="15"/>
        <v>0.21086556169429096</v>
      </c>
      <c r="AH46" s="3"/>
      <c r="AI46" s="9"/>
      <c r="AJ46" s="426"/>
      <c r="AK46" s="438"/>
      <c r="AL46" s="5"/>
      <c r="AM46" s="37"/>
      <c r="AN46" s="5">
        <v>917</v>
      </c>
      <c r="AO46" s="9">
        <f t="shared" si="16"/>
        <v>-0.17088607594936711</v>
      </c>
      <c r="AP46" s="426"/>
      <c r="AQ46" s="438"/>
      <c r="AR46" s="5">
        <v>30</v>
      </c>
      <c r="AS46" s="99">
        <f t="shared" si="13"/>
        <v>2.3333333333333335</v>
      </c>
      <c r="AT46" s="38"/>
      <c r="AU46" s="39"/>
      <c r="AV46" s="412"/>
      <c r="AW46" s="415"/>
      <c r="AX46" s="5"/>
      <c r="AY46" s="9"/>
      <c r="AZ46" s="3">
        <v>447</v>
      </c>
      <c r="BA46" s="39"/>
      <c r="BB46" s="5">
        <v>151</v>
      </c>
      <c r="BC46" s="238"/>
    </row>
    <row r="47" spans="1:55" s="157" customFormat="1" ht="13.5" customHeight="1">
      <c r="A47" s="461"/>
      <c r="B47" s="15" t="s">
        <v>141</v>
      </c>
      <c r="C47" s="3">
        <v>1064076</v>
      </c>
      <c r="D47" s="9">
        <v>0.16200000000000001</v>
      </c>
      <c r="E47" s="178"/>
      <c r="F47" s="3">
        <v>190330</v>
      </c>
      <c r="G47" s="9">
        <f t="shared" si="1"/>
        <v>0.23827306676382184</v>
      </c>
      <c r="H47" s="3">
        <v>390621</v>
      </c>
      <c r="I47" s="9">
        <f t="shared" si="2"/>
        <v>0.26329117199046598</v>
      </c>
      <c r="J47" s="3">
        <v>16673</v>
      </c>
      <c r="K47" s="9">
        <f t="shared" si="3"/>
        <v>1.1833960432091273E-2</v>
      </c>
      <c r="L47" s="7">
        <v>61598</v>
      </c>
      <c r="M47" s="37">
        <f t="shared" si="4"/>
        <v>0.18150954253380647</v>
      </c>
      <c r="N47" s="3">
        <v>77003</v>
      </c>
      <c r="O47" s="9">
        <f t="shared" si="5"/>
        <v>-8.5748496826275611E-3</v>
      </c>
      <c r="P47" s="5">
        <v>40126</v>
      </c>
      <c r="Q47" s="9">
        <f t="shared" si="11"/>
        <v>0.55292387476295524</v>
      </c>
      <c r="R47" s="7">
        <v>15325</v>
      </c>
      <c r="S47" s="37">
        <f t="shared" si="6"/>
        <v>0.46203014691852701</v>
      </c>
      <c r="T47" s="3">
        <v>37829</v>
      </c>
      <c r="U47" s="9">
        <f t="shared" si="7"/>
        <v>4.1403991741225055E-2</v>
      </c>
      <c r="V47" s="5">
        <v>354</v>
      </c>
      <c r="W47" s="9">
        <f t="shared" si="14"/>
        <v>-1.9390581717451522E-2</v>
      </c>
      <c r="X47" s="13">
        <v>48538</v>
      </c>
      <c r="Y47" s="9">
        <f t="shared" si="8"/>
        <v>0.15133545234593671</v>
      </c>
      <c r="Z47" s="12">
        <v>24413</v>
      </c>
      <c r="AA47" s="37"/>
      <c r="AB47" s="3">
        <v>27530</v>
      </c>
      <c r="AC47" s="9">
        <v>0.21058880436216526</v>
      </c>
      <c r="AD47" s="3">
        <v>12814</v>
      </c>
      <c r="AE47" s="9">
        <f t="shared" si="9"/>
        <v>-6.3714744994885289E-2</v>
      </c>
      <c r="AF47" s="5">
        <v>2677</v>
      </c>
      <c r="AG47" s="36">
        <f t="shared" si="15"/>
        <v>0.46845858475041141</v>
      </c>
      <c r="AH47" s="3"/>
      <c r="AI47" s="9"/>
      <c r="AJ47" s="426"/>
      <c r="AK47" s="438"/>
      <c r="AL47" s="5"/>
      <c r="AM47" s="37"/>
      <c r="AN47" s="5">
        <v>952</v>
      </c>
      <c r="AO47" s="9">
        <f t="shared" si="16"/>
        <v>-0.55576294913672419</v>
      </c>
      <c r="AP47" s="426"/>
      <c r="AQ47" s="438"/>
      <c r="AR47" s="5">
        <v>17</v>
      </c>
      <c r="AS47" s="99">
        <f t="shared" si="13"/>
        <v>0.30769230769230771</v>
      </c>
      <c r="AT47" s="38"/>
      <c r="AU47" s="39"/>
      <c r="AV47" s="412"/>
      <c r="AW47" s="415"/>
      <c r="AX47" s="5"/>
      <c r="AY47" s="9"/>
      <c r="AZ47" s="3">
        <v>533</v>
      </c>
      <c r="BA47" s="39"/>
      <c r="BB47" s="5">
        <v>111</v>
      </c>
      <c r="BC47" s="238"/>
    </row>
    <row r="48" spans="1:55" s="157" customFormat="1" ht="13.5" customHeight="1">
      <c r="A48" s="461"/>
      <c r="B48" s="15" t="s">
        <v>142</v>
      </c>
      <c r="C48" s="3">
        <v>1297398</v>
      </c>
      <c r="D48" s="9">
        <v>0.18099999999999999</v>
      </c>
      <c r="E48" s="178"/>
      <c r="F48" s="3">
        <v>254234</v>
      </c>
      <c r="G48" s="9">
        <f t="shared" si="1"/>
        <v>0.28646608171155036</v>
      </c>
      <c r="H48" s="3">
        <v>448600</v>
      </c>
      <c r="I48" s="9">
        <f t="shared" si="2"/>
        <v>0.23267156694373842</v>
      </c>
      <c r="J48" s="3">
        <v>15946</v>
      </c>
      <c r="K48" s="9">
        <f t="shared" si="3"/>
        <v>0.10261374636979671</v>
      </c>
      <c r="L48" s="7">
        <v>77832</v>
      </c>
      <c r="M48" s="37">
        <f t="shared" si="4"/>
        <v>0.29205332093826258</v>
      </c>
      <c r="N48" s="5">
        <v>91551</v>
      </c>
      <c r="O48" s="9">
        <f t="shared" si="5"/>
        <v>2.2196666033964918E-2</v>
      </c>
      <c r="P48" s="5">
        <v>33045</v>
      </c>
      <c r="Q48" s="9">
        <f t="shared" si="11"/>
        <v>0.15809210065185392</v>
      </c>
      <c r="R48" s="7">
        <v>17714</v>
      </c>
      <c r="S48" s="37">
        <f t="shared" si="6"/>
        <v>0.33047919483250715</v>
      </c>
      <c r="T48" s="5">
        <v>46087</v>
      </c>
      <c r="U48" s="9">
        <f t="shared" si="7"/>
        <v>9.10862472904031E-3</v>
      </c>
      <c r="V48" s="5">
        <v>456</v>
      </c>
      <c r="W48" s="9">
        <f t="shared" si="14"/>
        <v>-0.21514629948364888</v>
      </c>
      <c r="X48" s="13">
        <v>62692</v>
      </c>
      <c r="Y48" s="9">
        <f t="shared" si="8"/>
        <v>0.16331112801766534</v>
      </c>
      <c r="Z48" s="12">
        <v>21962</v>
      </c>
      <c r="AA48" s="37"/>
      <c r="AB48" s="5">
        <v>31048</v>
      </c>
      <c r="AC48" s="36">
        <v>0.3246864066899906</v>
      </c>
      <c r="AD48" s="5">
        <v>21377</v>
      </c>
      <c r="AE48" s="9">
        <f t="shared" si="9"/>
        <v>0.35460363728534311</v>
      </c>
      <c r="AF48" s="5">
        <v>1951</v>
      </c>
      <c r="AG48" s="36">
        <f t="shared" si="15"/>
        <v>0.1449530516431925</v>
      </c>
      <c r="AH48" s="3"/>
      <c r="AI48" s="9"/>
      <c r="AJ48" s="426">
        <f>32273-AJ42</f>
        <v>20616</v>
      </c>
      <c r="AK48" s="438">
        <f>(SUM(AJ48:AJ53)/AJ36-1)</f>
        <v>0.45418635818579389</v>
      </c>
      <c r="AL48" s="5"/>
      <c r="AM48" s="37"/>
      <c r="AN48" s="5">
        <v>1303</v>
      </c>
      <c r="AO48" s="9">
        <f t="shared" si="16"/>
        <v>-0.54392719635981801</v>
      </c>
      <c r="AP48" s="426">
        <f>AP169*0.25</f>
        <v>21145.75</v>
      </c>
      <c r="AQ48" s="427">
        <f>(AP48/AP36-1)</f>
        <v>0.25663558201022818</v>
      </c>
      <c r="AR48" s="5">
        <v>19</v>
      </c>
      <c r="AS48" s="99" t="str">
        <f t="shared" si="13"/>
        <v>-</v>
      </c>
      <c r="AT48" s="38"/>
      <c r="AU48" s="39"/>
      <c r="AV48" s="412"/>
      <c r="AW48" s="415"/>
      <c r="AX48" s="5"/>
      <c r="AY48" s="9"/>
      <c r="AZ48" s="5">
        <v>1287</v>
      </c>
      <c r="BA48" s="39"/>
      <c r="BB48" s="5">
        <v>185</v>
      </c>
      <c r="BC48" s="238"/>
    </row>
    <row r="49" spans="1:55" s="157" customFormat="1" ht="13.5" customHeight="1">
      <c r="A49" s="461"/>
      <c r="B49" s="15" t="s">
        <v>143</v>
      </c>
      <c r="C49" s="3">
        <v>1308664</v>
      </c>
      <c r="D49" s="9">
        <v>0.128</v>
      </c>
      <c r="E49" s="178"/>
      <c r="F49" s="3">
        <v>271377</v>
      </c>
      <c r="G49" s="9">
        <f t="shared" si="1"/>
        <v>0.23167311148630249</v>
      </c>
      <c r="H49" s="5">
        <v>481518</v>
      </c>
      <c r="I49" s="9">
        <f t="shared" si="2"/>
        <v>0.18272475842859459</v>
      </c>
      <c r="J49" s="3">
        <v>18648</v>
      </c>
      <c r="K49" s="9">
        <f t="shared" si="3"/>
        <v>0.12350885648873358</v>
      </c>
      <c r="L49" s="53">
        <v>88813</v>
      </c>
      <c r="M49" s="37">
        <f t="shared" si="4"/>
        <v>0.3070345842531273</v>
      </c>
      <c r="N49" s="3">
        <v>96102</v>
      </c>
      <c r="O49" s="9">
        <f t="shared" si="5"/>
        <v>-2.0806891242379475E-4</v>
      </c>
      <c r="P49" s="5">
        <v>39469</v>
      </c>
      <c r="Q49" s="36">
        <f t="shared" si="11"/>
        <v>4.5370272274605362E-2</v>
      </c>
      <c r="R49" s="53">
        <v>22680</v>
      </c>
      <c r="S49" s="54">
        <f t="shared" si="6"/>
        <v>0.44486207555583868</v>
      </c>
      <c r="T49" s="3">
        <v>45882</v>
      </c>
      <c r="U49" s="9">
        <f t="shared" si="7"/>
        <v>2.2941609256905894E-2</v>
      </c>
      <c r="V49" s="5">
        <v>354</v>
      </c>
      <c r="W49" s="9">
        <f t="shared" si="14"/>
        <v>-0.44427001569858715</v>
      </c>
      <c r="X49" s="13">
        <v>54640</v>
      </c>
      <c r="Y49" s="9">
        <f t="shared" si="8"/>
        <v>0.15637764280121047</v>
      </c>
      <c r="Z49" s="12">
        <v>21741</v>
      </c>
      <c r="AA49" s="37"/>
      <c r="AB49" s="3">
        <v>28685</v>
      </c>
      <c r="AC49" s="9">
        <v>0.11558355695562555</v>
      </c>
      <c r="AD49" s="5">
        <v>22118</v>
      </c>
      <c r="AE49" s="9">
        <f t="shared" si="9"/>
        <v>0.17956375659964802</v>
      </c>
      <c r="AF49" s="5">
        <v>2874</v>
      </c>
      <c r="AG49" s="36">
        <f t="shared" si="15"/>
        <v>1.9507186858316221</v>
      </c>
      <c r="AH49" s="3"/>
      <c r="AI49" s="9"/>
      <c r="AJ49" s="426"/>
      <c r="AK49" s="438"/>
      <c r="AL49" s="5"/>
      <c r="AM49" s="37"/>
      <c r="AN49" s="5">
        <v>1031</v>
      </c>
      <c r="AO49" s="9">
        <f t="shared" si="16"/>
        <v>-0.66698966408268734</v>
      </c>
      <c r="AP49" s="426"/>
      <c r="AQ49" s="427"/>
      <c r="AR49" s="5">
        <v>0</v>
      </c>
      <c r="AS49" s="99" t="str">
        <f t="shared" si="13"/>
        <v>-</v>
      </c>
      <c r="AT49" s="38"/>
      <c r="AU49" s="39"/>
      <c r="AV49" s="412"/>
      <c r="AW49" s="415"/>
      <c r="AX49" s="5"/>
      <c r="AY49" s="9"/>
      <c r="AZ49" s="3">
        <v>999</v>
      </c>
      <c r="BA49" s="39"/>
      <c r="BB49" s="5">
        <v>37</v>
      </c>
      <c r="BC49" s="238"/>
    </row>
    <row r="50" spans="1:55" s="157" customFormat="1" ht="13.5" customHeight="1">
      <c r="A50" s="461"/>
      <c r="B50" s="15" t="s">
        <v>144</v>
      </c>
      <c r="C50" s="3">
        <v>1015650</v>
      </c>
      <c r="D50" s="9">
        <v>0.09</v>
      </c>
      <c r="E50" s="178"/>
      <c r="F50" s="5">
        <v>201286</v>
      </c>
      <c r="G50" s="9">
        <f t="shared" ref="G50:G81" si="17">(F50-F38)/F38</f>
        <v>0.28657534947044122</v>
      </c>
      <c r="H50" s="5">
        <v>361155</v>
      </c>
      <c r="I50" s="9">
        <f t="shared" si="2"/>
        <v>8.0755545846562665E-2</v>
      </c>
      <c r="J50" s="5">
        <v>17686</v>
      </c>
      <c r="K50" s="9">
        <f t="shared" si="3"/>
        <v>0.3600430636727161</v>
      </c>
      <c r="L50" s="53">
        <v>66497</v>
      </c>
      <c r="M50" s="37">
        <f t="shared" si="4"/>
        <v>0.28412250888305268</v>
      </c>
      <c r="N50" s="5">
        <v>70859</v>
      </c>
      <c r="O50" s="9">
        <f t="shared" ref="O50:O81" si="18">(N50-N38)/N38</f>
        <v>3.9506498841064462E-2</v>
      </c>
      <c r="P50" s="5">
        <v>37257</v>
      </c>
      <c r="Q50" s="36">
        <f t="shared" si="11"/>
        <v>0.16384480819692615</v>
      </c>
      <c r="R50" s="53">
        <v>17141</v>
      </c>
      <c r="S50" s="37">
        <f t="shared" si="6"/>
        <v>0.83896577620426993</v>
      </c>
      <c r="T50" s="5">
        <v>30224</v>
      </c>
      <c r="U50" s="9">
        <f t="shared" si="7"/>
        <v>3.1043187555434264E-2</v>
      </c>
      <c r="V50" s="5">
        <v>309</v>
      </c>
      <c r="W50" s="9">
        <f t="shared" si="14"/>
        <v>-0.24817518248175183</v>
      </c>
      <c r="X50" s="13">
        <v>43061</v>
      </c>
      <c r="Y50" s="9">
        <f t="shared" ref="Y50:Y81" si="19">X50/X38-1</f>
        <v>0.13554494870915845</v>
      </c>
      <c r="Z50" s="12">
        <v>15211</v>
      </c>
      <c r="AA50" s="37"/>
      <c r="AB50" s="3">
        <v>23566</v>
      </c>
      <c r="AC50" s="9">
        <v>5.3229050279329608E-2</v>
      </c>
      <c r="AD50" s="5">
        <v>14251</v>
      </c>
      <c r="AE50" s="9">
        <f t="shared" si="9"/>
        <v>-4.0078135524720462E-2</v>
      </c>
      <c r="AF50" s="5">
        <v>1160</v>
      </c>
      <c r="AG50" s="36">
        <f t="shared" si="15"/>
        <v>8.6142322097378279E-2</v>
      </c>
      <c r="AH50" s="3"/>
      <c r="AI50" s="9"/>
      <c r="AJ50" s="426"/>
      <c r="AK50" s="438"/>
      <c r="AL50" s="5"/>
      <c r="AM50" s="37"/>
      <c r="AN50" s="5">
        <v>784</v>
      </c>
      <c r="AO50" s="9">
        <f t="shared" si="16"/>
        <v>-0.1009174311926605</v>
      </c>
      <c r="AP50" s="426"/>
      <c r="AQ50" s="427"/>
      <c r="AR50" s="5">
        <v>0</v>
      </c>
      <c r="AS50" s="99">
        <f t="shared" si="13"/>
        <v>-1</v>
      </c>
      <c r="AT50" s="38"/>
      <c r="AU50" s="39"/>
      <c r="AV50" s="412"/>
      <c r="AW50" s="415"/>
      <c r="AX50" s="5"/>
      <c r="AY50" s="9"/>
      <c r="AZ50" s="3">
        <v>873</v>
      </c>
      <c r="BA50" s="39"/>
      <c r="BB50" s="5">
        <v>58</v>
      </c>
      <c r="BC50" s="238"/>
    </row>
    <row r="51" spans="1:55" s="157" customFormat="1" ht="13.5" customHeight="1">
      <c r="A51" s="461"/>
      <c r="B51" s="15" t="s">
        <v>145</v>
      </c>
      <c r="C51" s="5">
        <v>1078092</v>
      </c>
      <c r="D51" s="9">
        <v>9.5000000000000001E-2</v>
      </c>
      <c r="E51" s="178"/>
      <c r="F51" s="5">
        <v>222737</v>
      </c>
      <c r="G51" s="9">
        <f t="shared" si="17"/>
        <v>0.18729111252072217</v>
      </c>
      <c r="H51" s="5">
        <v>414382</v>
      </c>
      <c r="I51" s="9">
        <f t="shared" si="2"/>
        <v>0.11628270333175295</v>
      </c>
      <c r="J51" s="5">
        <v>15482</v>
      </c>
      <c r="K51" s="9">
        <f t="shared" si="3"/>
        <v>-7.4983569337396194E-2</v>
      </c>
      <c r="L51" s="53">
        <v>67708</v>
      </c>
      <c r="M51" s="37">
        <f t="shared" si="4"/>
        <v>0.10223350914892232</v>
      </c>
      <c r="N51" s="5">
        <v>77173</v>
      </c>
      <c r="O51" s="9">
        <f t="shared" si="18"/>
        <v>-1.0044127456513931E-2</v>
      </c>
      <c r="P51" s="5">
        <v>31305</v>
      </c>
      <c r="Q51" s="36">
        <f t="shared" si="11"/>
        <v>-4.4005374702253713E-2</v>
      </c>
      <c r="R51" s="53">
        <v>16824</v>
      </c>
      <c r="S51" s="37">
        <f t="shared" si="6"/>
        <v>0.47656661400737232</v>
      </c>
      <c r="T51" s="5">
        <v>33353</v>
      </c>
      <c r="U51" s="9">
        <f t="shared" si="7"/>
        <v>-4.7383754141437223E-2</v>
      </c>
      <c r="V51" s="5">
        <v>369</v>
      </c>
      <c r="W51" s="9">
        <f t="shared" si="14"/>
        <v>0.59051724137931039</v>
      </c>
      <c r="X51" s="13">
        <v>49699</v>
      </c>
      <c r="Y51" s="9">
        <f t="shared" si="19"/>
        <v>7.2046420328307326E-2</v>
      </c>
      <c r="Z51" s="12">
        <v>20239</v>
      </c>
      <c r="AA51" s="37"/>
      <c r="AB51" s="5">
        <v>28718</v>
      </c>
      <c r="AC51" s="9">
        <v>0.18147035833299049</v>
      </c>
      <c r="AD51" s="5">
        <v>13546</v>
      </c>
      <c r="AE51" s="9">
        <f t="shared" si="9"/>
        <v>-4.9336795564601021E-2</v>
      </c>
      <c r="AF51" s="5">
        <v>2208</v>
      </c>
      <c r="AG51" s="36">
        <f t="shared" si="15"/>
        <v>0.23975294778214487</v>
      </c>
      <c r="AH51" s="3"/>
      <c r="AI51" s="9"/>
      <c r="AJ51" s="426"/>
      <c r="AK51" s="438"/>
      <c r="AL51" s="5"/>
      <c r="AM51" s="37"/>
      <c r="AN51" s="5">
        <v>495</v>
      </c>
      <c r="AO51" s="9">
        <f t="shared" si="16"/>
        <v>-0.5783645655877343</v>
      </c>
      <c r="AP51" s="426">
        <f>AP169*0.256</f>
        <v>21653.248</v>
      </c>
      <c r="AQ51" s="427">
        <f>(AP51/AP39-1)</f>
        <v>7.1581762365349411E-2</v>
      </c>
      <c r="AR51" s="5">
        <v>25</v>
      </c>
      <c r="AS51" s="99" t="str">
        <f t="shared" si="13"/>
        <v>-</v>
      </c>
      <c r="AT51" s="38"/>
      <c r="AU51" s="39"/>
      <c r="AV51" s="412"/>
      <c r="AW51" s="415"/>
      <c r="AX51" s="5"/>
      <c r="AY51" s="9"/>
      <c r="AZ51" s="5">
        <v>863</v>
      </c>
      <c r="BA51" s="39"/>
      <c r="BB51" s="5">
        <v>68</v>
      </c>
      <c r="BC51" s="238"/>
    </row>
    <row r="52" spans="1:55" s="157" customFormat="1" ht="13.5" customHeight="1">
      <c r="A52" s="461"/>
      <c r="B52" s="15" t="s">
        <v>29</v>
      </c>
      <c r="C52" s="5">
        <v>1072557</v>
      </c>
      <c r="D52" s="9">
        <v>8.5999999999999993E-2</v>
      </c>
      <c r="E52" s="178"/>
      <c r="F52" s="5">
        <v>218488</v>
      </c>
      <c r="G52" s="9">
        <f t="shared" si="17"/>
        <v>0.23232072555809993</v>
      </c>
      <c r="H52" s="5">
        <v>379382</v>
      </c>
      <c r="I52" s="9">
        <f t="shared" si="2"/>
        <v>0.13881334461994729</v>
      </c>
      <c r="J52" s="5">
        <v>21100</v>
      </c>
      <c r="K52" s="9">
        <f t="shared" si="3"/>
        <v>0.18786241062883521</v>
      </c>
      <c r="L52" s="53">
        <v>81131</v>
      </c>
      <c r="M52" s="37">
        <f t="shared" si="4"/>
        <v>0.25843027764851867</v>
      </c>
      <c r="N52" s="5">
        <v>96597</v>
      </c>
      <c r="O52" s="9">
        <f t="shared" si="18"/>
        <v>-4.2551293487957179E-2</v>
      </c>
      <c r="P52" s="5">
        <v>38481</v>
      </c>
      <c r="Q52" s="36">
        <f t="shared" si="11"/>
        <v>-2.4166962519653092E-2</v>
      </c>
      <c r="R52" s="53">
        <v>20476</v>
      </c>
      <c r="S52" s="37">
        <f t="shared" si="6"/>
        <v>0.5273758018797553</v>
      </c>
      <c r="T52" s="5">
        <v>43948</v>
      </c>
      <c r="U52" s="9">
        <f t="shared" si="7"/>
        <v>3.8832290191420349E-3</v>
      </c>
      <c r="V52" s="5">
        <v>567</v>
      </c>
      <c r="W52" s="9">
        <f t="shared" si="14"/>
        <v>0.2857142857142857</v>
      </c>
      <c r="X52" s="13">
        <v>63988</v>
      </c>
      <c r="Y52" s="9">
        <f t="shared" si="19"/>
        <v>9.4972449433587736E-2</v>
      </c>
      <c r="Z52" s="12">
        <v>23226</v>
      </c>
      <c r="AA52" s="37"/>
      <c r="AB52" s="5">
        <v>32219</v>
      </c>
      <c r="AC52" s="9">
        <v>-1.9536836980006696E-2</v>
      </c>
      <c r="AD52" s="5">
        <v>28343</v>
      </c>
      <c r="AE52" s="9">
        <f t="shared" si="9"/>
        <v>0.4300201816347124</v>
      </c>
      <c r="AF52" s="5">
        <v>2344</v>
      </c>
      <c r="AG52" s="36">
        <f t="shared" si="15"/>
        <v>0.39357907253269919</v>
      </c>
      <c r="AH52" s="3"/>
      <c r="AI52" s="9"/>
      <c r="AJ52" s="426"/>
      <c r="AK52" s="438"/>
      <c r="AL52" s="5"/>
      <c r="AM52" s="37"/>
      <c r="AN52" s="5">
        <v>720</v>
      </c>
      <c r="AO52" s="9">
        <f t="shared" si="16"/>
        <v>-0.48424068767908313</v>
      </c>
      <c r="AP52" s="426"/>
      <c r="AQ52" s="427"/>
      <c r="AR52" s="5">
        <v>11</v>
      </c>
      <c r="AS52" s="99">
        <f t="shared" si="13"/>
        <v>0.10000000000000009</v>
      </c>
      <c r="AT52" s="38"/>
      <c r="AU52" s="39"/>
      <c r="AV52" s="412"/>
      <c r="AW52" s="415"/>
      <c r="AX52" s="5"/>
      <c r="AY52" s="9"/>
      <c r="AZ52" s="5">
        <v>979</v>
      </c>
      <c r="BA52" s="39"/>
      <c r="BB52" s="5">
        <v>49</v>
      </c>
      <c r="BC52" s="238"/>
    </row>
    <row r="53" spans="1:55" s="157" customFormat="1" ht="13.5" customHeight="1">
      <c r="A53" s="462"/>
      <c r="B53" s="41" t="s">
        <v>146</v>
      </c>
      <c r="C53" s="5">
        <v>1081848</v>
      </c>
      <c r="D53" s="9">
        <v>6.5000000000000002E-2</v>
      </c>
      <c r="E53" s="178"/>
      <c r="F53" s="5">
        <v>209000</v>
      </c>
      <c r="G53" s="9">
        <f t="shared" si="17"/>
        <v>0.13169949858672933</v>
      </c>
      <c r="H53" s="42">
        <v>358085</v>
      </c>
      <c r="I53" s="19">
        <f t="shared" si="2"/>
        <v>9.2935452758549128E-2</v>
      </c>
      <c r="J53" s="42">
        <v>22959</v>
      </c>
      <c r="K53" s="19">
        <f t="shared" si="3"/>
        <v>0.2058298319327731</v>
      </c>
      <c r="L53" s="55">
        <v>100323</v>
      </c>
      <c r="M53" s="45">
        <f t="shared" si="4"/>
        <v>0.26665656603916521</v>
      </c>
      <c r="N53" s="42">
        <v>105849</v>
      </c>
      <c r="O53" s="19">
        <f t="shared" si="18"/>
        <v>4.1400615893192709E-2</v>
      </c>
      <c r="P53" s="42">
        <v>43462</v>
      </c>
      <c r="Q53" s="19">
        <f t="shared" si="11"/>
        <v>7.8290503822418713E-4</v>
      </c>
      <c r="R53" s="55">
        <v>28642</v>
      </c>
      <c r="S53" s="45">
        <f t="shared" si="6"/>
        <v>0.5113714315867236</v>
      </c>
      <c r="T53" s="42">
        <v>39638</v>
      </c>
      <c r="U53" s="19">
        <f t="shared" si="7"/>
        <v>9.7610278846952628E-2</v>
      </c>
      <c r="V53" s="42">
        <v>465</v>
      </c>
      <c r="W53" s="9">
        <f t="shared" si="14"/>
        <v>0.34782608695652173</v>
      </c>
      <c r="X53" s="50">
        <v>66912</v>
      </c>
      <c r="Y53" s="19">
        <f t="shared" si="19"/>
        <v>9.9513605889312462E-2</v>
      </c>
      <c r="Z53" s="49">
        <v>28111</v>
      </c>
      <c r="AA53" s="37"/>
      <c r="AB53" s="42">
        <v>28840</v>
      </c>
      <c r="AC53" s="19">
        <v>-6.8528530596783637E-3</v>
      </c>
      <c r="AD53" s="42">
        <v>15983</v>
      </c>
      <c r="AE53" s="19">
        <f t="shared" si="9"/>
        <v>-6.6849602989257351E-2</v>
      </c>
      <c r="AF53" s="42">
        <v>1157</v>
      </c>
      <c r="AG53" s="43">
        <f t="shared" si="15"/>
        <v>-4.6952224052718289E-2</v>
      </c>
      <c r="AH53" s="3"/>
      <c r="AI53" s="9"/>
      <c r="AJ53" s="433"/>
      <c r="AK53" s="439"/>
      <c r="AL53" s="42"/>
      <c r="AM53" s="37"/>
      <c r="AN53" s="42">
        <v>1364</v>
      </c>
      <c r="AO53" s="19">
        <f t="shared" si="16"/>
        <v>-1.0877447425670761E-2</v>
      </c>
      <c r="AP53" s="433"/>
      <c r="AQ53" s="427"/>
      <c r="AR53" s="42">
        <v>0</v>
      </c>
      <c r="AS53" s="99" t="str">
        <f t="shared" si="13"/>
        <v>-</v>
      </c>
      <c r="AT53" s="46"/>
      <c r="AU53" s="47"/>
      <c r="AV53" s="413"/>
      <c r="AW53" s="416"/>
      <c r="AX53" s="42"/>
      <c r="AY53" s="9"/>
      <c r="AZ53" s="42">
        <v>1050</v>
      </c>
      <c r="BA53" s="47"/>
      <c r="BB53" s="42">
        <v>120</v>
      </c>
      <c r="BC53" s="238"/>
    </row>
    <row r="54" spans="1:55" s="157" customFormat="1" ht="13.5" customHeight="1">
      <c r="A54" s="457" t="s">
        <v>147</v>
      </c>
      <c r="B54" s="2" t="s">
        <v>132</v>
      </c>
      <c r="C54" s="25">
        <v>1322909</v>
      </c>
      <c r="D54" s="24">
        <v>3.2000000000000001E-2</v>
      </c>
      <c r="E54" s="178"/>
      <c r="F54" s="25">
        <v>271700</v>
      </c>
      <c r="G54" s="24">
        <f t="shared" si="17"/>
        <v>0.13043478260869565</v>
      </c>
      <c r="H54" s="25">
        <v>426625</v>
      </c>
      <c r="I54" s="24">
        <v>0.04</v>
      </c>
      <c r="J54" s="25">
        <v>32744</v>
      </c>
      <c r="K54" s="24">
        <f t="shared" si="3"/>
        <v>0.33387648688284177</v>
      </c>
      <c r="L54" s="56">
        <v>101818</v>
      </c>
      <c r="M54" s="28">
        <f t="shared" si="4"/>
        <v>0.28172914725949799</v>
      </c>
      <c r="N54" s="25">
        <v>118417</v>
      </c>
      <c r="O54" s="24">
        <f t="shared" si="18"/>
        <v>-6.3838029282484263E-2</v>
      </c>
      <c r="P54" s="25">
        <v>47209</v>
      </c>
      <c r="Q54" s="24">
        <f t="shared" si="11"/>
        <v>-2.5453119194087773E-2</v>
      </c>
      <c r="R54" s="56">
        <v>35580</v>
      </c>
      <c r="S54" s="28">
        <f t="shared" si="6"/>
        <v>0.38837944355562493</v>
      </c>
      <c r="T54" s="25">
        <v>50432</v>
      </c>
      <c r="U54" s="24">
        <f t="shared" ref="U54:U86" si="20">(T54/T42-1)</f>
        <v>7.9336543606206567E-2</v>
      </c>
      <c r="V54" s="3">
        <v>630</v>
      </c>
      <c r="W54" s="28">
        <f t="shared" ref="W54:W65" si="21">(V54-V42)/V42</f>
        <v>-0.16996047430830039</v>
      </c>
      <c r="X54" s="31">
        <v>69522</v>
      </c>
      <c r="Y54" s="24">
        <f t="shared" si="19"/>
        <v>-1.7120721586812326E-2</v>
      </c>
      <c r="Z54" s="32">
        <v>36472</v>
      </c>
      <c r="AA54" s="28">
        <f t="shared" ref="AA54:AA65" si="22">Z54/Z42-1</f>
        <v>-0.23711512717536809</v>
      </c>
      <c r="AB54" s="3">
        <v>33112</v>
      </c>
      <c r="AC54" s="24">
        <v>-1.1611593683770634E-2</v>
      </c>
      <c r="AD54" s="25">
        <v>26216</v>
      </c>
      <c r="AE54" s="24">
        <v>-3.7999999999999999E-2</v>
      </c>
      <c r="AF54" s="3">
        <v>5692</v>
      </c>
      <c r="AG54" s="26">
        <f>(AF54-AF42)/AF42</f>
        <v>0.15926680244399186</v>
      </c>
      <c r="AH54" s="23">
        <v>14478</v>
      </c>
      <c r="AI54" s="24"/>
      <c r="AJ54" s="440">
        <v>14635</v>
      </c>
      <c r="AK54" s="437">
        <f>(SUM(AJ54:AJ59)/AJ42-1)</f>
        <v>0.2554688170198165</v>
      </c>
      <c r="AL54" s="3"/>
      <c r="AM54" s="28"/>
      <c r="AN54" s="29">
        <v>2135</v>
      </c>
      <c r="AO54" s="9">
        <f>(AN54/AN42-1)</f>
        <v>-0.11226611226611227</v>
      </c>
      <c r="AP54" s="440">
        <f>AP170*0.361</f>
        <v>28808.521999999997</v>
      </c>
      <c r="AQ54" s="452">
        <f>(AP54/AP42-1)</f>
        <v>5.7747533515353888E-2</v>
      </c>
      <c r="AR54" s="3">
        <v>0</v>
      </c>
      <c r="AS54" s="138" t="str">
        <f t="shared" si="13"/>
        <v>-</v>
      </c>
      <c r="AT54" s="411">
        <v>97</v>
      </c>
      <c r="AU54" s="30"/>
      <c r="AV54" s="411">
        <v>14530</v>
      </c>
      <c r="AW54" s="414">
        <f>AV54/AV42-1</f>
        <v>0.13418156271953796</v>
      </c>
      <c r="AX54" s="3"/>
      <c r="AY54" s="24"/>
      <c r="AZ54" s="3">
        <v>2678</v>
      </c>
      <c r="BA54" s="24">
        <f t="shared" ref="BA54:BA85" si="23">(AZ54/AZ42-1)</f>
        <v>5.1020408163265252E-2</v>
      </c>
      <c r="BB54" s="3">
        <v>117</v>
      </c>
      <c r="BC54" s="237">
        <v>-3.7999999999999999E-2</v>
      </c>
    </row>
    <row r="55" spans="1:55" s="157" customFormat="1" ht="13.5" customHeight="1">
      <c r="A55" s="461"/>
      <c r="B55" s="15" t="s">
        <v>133</v>
      </c>
      <c r="C55" s="5">
        <v>1132463</v>
      </c>
      <c r="D55" s="9">
        <v>0.153</v>
      </c>
      <c r="E55" s="178"/>
      <c r="F55" s="5">
        <v>234900</v>
      </c>
      <c r="G55" s="9">
        <f t="shared" si="17"/>
        <v>0.16077384923282187</v>
      </c>
      <c r="H55" s="5">
        <v>397565</v>
      </c>
      <c r="I55" s="9">
        <v>0.13700000000000001</v>
      </c>
      <c r="J55" s="5">
        <v>28894</v>
      </c>
      <c r="K55" s="9">
        <f t="shared" si="3"/>
        <v>0.55486197061830711</v>
      </c>
      <c r="L55" s="53">
        <v>96445</v>
      </c>
      <c r="M55" s="37">
        <v>0.501</v>
      </c>
      <c r="N55" s="5">
        <v>99834</v>
      </c>
      <c r="O55" s="9">
        <f t="shared" si="18"/>
        <v>0.15491132885253867</v>
      </c>
      <c r="P55" s="5">
        <v>47485</v>
      </c>
      <c r="Q55" s="9">
        <f t="shared" si="11"/>
        <v>6.1781673449309064E-2</v>
      </c>
      <c r="R55" s="53">
        <v>33682</v>
      </c>
      <c r="S55" s="37">
        <f t="shared" si="6"/>
        <v>0.99467014094516171</v>
      </c>
      <c r="T55" s="5">
        <v>40998</v>
      </c>
      <c r="U55" s="9">
        <f t="shared" si="20"/>
        <v>0.30587673196368859</v>
      </c>
      <c r="V55" s="3">
        <v>402</v>
      </c>
      <c r="W55" s="9">
        <f t="shared" si="21"/>
        <v>1.5151515151515152E-2</v>
      </c>
      <c r="X55" s="11">
        <v>56832</v>
      </c>
      <c r="Y55" s="9">
        <f t="shared" si="19"/>
        <v>0.14629177676032201</v>
      </c>
      <c r="Z55" s="12">
        <v>31197</v>
      </c>
      <c r="AA55" s="37">
        <f t="shared" si="22"/>
        <v>-0.10032875764217331</v>
      </c>
      <c r="AB55" s="3">
        <v>26154</v>
      </c>
      <c r="AC55" s="9">
        <v>0.15971975877970912</v>
      </c>
      <c r="AD55" s="5">
        <v>26603</v>
      </c>
      <c r="AE55" s="9">
        <v>0.33200000000000002</v>
      </c>
      <c r="AF55" s="3">
        <v>6257</v>
      </c>
      <c r="AG55" s="36">
        <f t="shared" ref="AG55:AG65" si="24">(AF55-AF43)/AF43</f>
        <v>0.38245691559876271</v>
      </c>
      <c r="AH55" s="3">
        <v>9545</v>
      </c>
      <c r="AI55" s="9"/>
      <c r="AJ55" s="426"/>
      <c r="AK55" s="438"/>
      <c r="AL55" s="3"/>
      <c r="AM55" s="37"/>
      <c r="AN55" s="38">
        <v>1405</v>
      </c>
      <c r="AO55" s="9">
        <f t="shared" ref="AO55:AO65" si="25">(AN55/AN43-1)</f>
        <v>4.2284866468842663E-2</v>
      </c>
      <c r="AP55" s="426"/>
      <c r="AQ55" s="427"/>
      <c r="AR55" s="3">
        <v>0</v>
      </c>
      <c r="AS55" s="99" t="str">
        <f t="shared" si="13"/>
        <v>-</v>
      </c>
      <c r="AT55" s="412"/>
      <c r="AU55" s="39"/>
      <c r="AV55" s="412"/>
      <c r="AW55" s="415"/>
      <c r="AX55" s="3"/>
      <c r="AY55" s="9"/>
      <c r="AZ55" s="3">
        <v>1416</v>
      </c>
      <c r="BA55" s="9">
        <f t="shared" si="23"/>
        <v>0.12291831879460746</v>
      </c>
      <c r="BB55" s="3">
        <v>112</v>
      </c>
      <c r="BC55" s="238">
        <v>0.33200000000000002</v>
      </c>
    </row>
    <row r="56" spans="1:55" s="157" customFormat="1" ht="13.5" customHeight="1">
      <c r="A56" s="461"/>
      <c r="B56" s="15" t="s">
        <v>21</v>
      </c>
      <c r="C56" s="5">
        <v>983589</v>
      </c>
      <c r="D56" s="9">
        <v>-6.0299999999999999E-2</v>
      </c>
      <c r="E56" s="178"/>
      <c r="F56" s="57">
        <v>187500</v>
      </c>
      <c r="G56" s="9">
        <f t="shared" si="17"/>
        <v>-6.4698682181633209E-3</v>
      </c>
      <c r="H56" s="5">
        <v>349458</v>
      </c>
      <c r="I56" s="9">
        <v>-0.11</v>
      </c>
      <c r="J56" s="5">
        <v>21292</v>
      </c>
      <c r="K56" s="9">
        <f t="shared" si="3"/>
        <v>4.4237371260421772E-2</v>
      </c>
      <c r="L56" s="53">
        <v>72756</v>
      </c>
      <c r="M56" s="37">
        <v>0.13300000000000001</v>
      </c>
      <c r="N56" s="5">
        <v>85840</v>
      </c>
      <c r="O56" s="9">
        <f t="shared" si="18"/>
        <v>-0.1094234699700167</v>
      </c>
      <c r="P56" s="5">
        <v>46737</v>
      </c>
      <c r="Q56" s="9">
        <f t="shared" si="11"/>
        <v>-5.3274454595174915E-2</v>
      </c>
      <c r="R56" s="53">
        <v>22418</v>
      </c>
      <c r="S56" s="37">
        <f>(R56-R44)/R56</f>
        <v>0.36577750022303507</v>
      </c>
      <c r="T56" s="5">
        <v>39683</v>
      </c>
      <c r="U56" s="9">
        <f t="shared" si="20"/>
        <v>-5.3882650263452736E-2</v>
      </c>
      <c r="V56" s="3">
        <v>312</v>
      </c>
      <c r="W56" s="9">
        <f t="shared" si="21"/>
        <v>7.9584775086505188E-2</v>
      </c>
      <c r="X56" s="11">
        <v>48793</v>
      </c>
      <c r="Y56" s="9">
        <f t="shared" si="19"/>
        <v>-5.0793712551552406E-2</v>
      </c>
      <c r="Z56" s="12">
        <v>29867</v>
      </c>
      <c r="AA56" s="37">
        <f t="shared" si="22"/>
        <v>-0.23076724959435446</v>
      </c>
      <c r="AB56" s="3">
        <v>29470</v>
      </c>
      <c r="AC56" s="9">
        <v>9.3668819119720928E-2</v>
      </c>
      <c r="AD56" s="5">
        <v>21760</v>
      </c>
      <c r="AE56" s="9">
        <v>0.10100000000000001</v>
      </c>
      <c r="AF56" s="3">
        <v>3413</v>
      </c>
      <c r="AG56" s="36">
        <f t="shared" si="24"/>
        <v>-8.4986595174262741E-2</v>
      </c>
      <c r="AH56" s="3">
        <v>9440</v>
      </c>
      <c r="AI56" s="9"/>
      <c r="AJ56" s="426"/>
      <c r="AK56" s="438"/>
      <c r="AL56" s="3"/>
      <c r="AM56" s="37"/>
      <c r="AN56" s="38">
        <v>1381</v>
      </c>
      <c r="AO56" s="9">
        <f t="shared" si="25"/>
        <v>-0.10382868267358858</v>
      </c>
      <c r="AP56" s="426"/>
      <c r="AQ56" s="427"/>
      <c r="AR56" s="3">
        <v>0</v>
      </c>
      <c r="AS56" s="99">
        <f t="shared" si="13"/>
        <v>-1</v>
      </c>
      <c r="AT56" s="412"/>
      <c r="AU56" s="39"/>
      <c r="AV56" s="412"/>
      <c r="AW56" s="415"/>
      <c r="AX56" s="3"/>
      <c r="AY56" s="9"/>
      <c r="AZ56" s="3">
        <v>1197</v>
      </c>
      <c r="BA56" s="9">
        <f t="shared" si="23"/>
        <v>0.20180722891566272</v>
      </c>
      <c r="BB56" s="3">
        <v>126</v>
      </c>
      <c r="BC56" s="238">
        <v>0.10100000000000001</v>
      </c>
    </row>
    <row r="57" spans="1:55" s="157" customFormat="1" ht="13.5" customHeight="1">
      <c r="A57" s="461"/>
      <c r="B57" s="15" t="s">
        <v>22</v>
      </c>
      <c r="C57" s="5">
        <v>1026750</v>
      </c>
      <c r="D57" s="9">
        <v>3.7999999999999999E-2</v>
      </c>
      <c r="E57" s="178"/>
      <c r="F57" s="5">
        <v>203800</v>
      </c>
      <c r="G57" s="9">
        <f t="shared" si="17"/>
        <v>6.9490653764208279E-2</v>
      </c>
      <c r="H57" s="5">
        <v>368551</v>
      </c>
      <c r="I57" s="9">
        <f t="shared" ref="I57:I68" si="26">(H57-H45)/H45</f>
        <v>-1.0428665404701491E-2</v>
      </c>
      <c r="J57" s="5">
        <v>21654</v>
      </c>
      <c r="K57" s="9">
        <v>0.32800000000000001</v>
      </c>
      <c r="L57" s="53">
        <v>69794</v>
      </c>
      <c r="M57" s="37">
        <v>0.17899999999999999</v>
      </c>
      <c r="N57" s="5">
        <v>76784</v>
      </c>
      <c r="O57" s="9">
        <f t="shared" si="18"/>
        <v>3.5175944864963458E-4</v>
      </c>
      <c r="P57" s="5">
        <v>41475</v>
      </c>
      <c r="Q57" s="9">
        <f t="shared" si="11"/>
        <v>-7.8333333333333338E-2</v>
      </c>
      <c r="R57" s="53">
        <v>19164</v>
      </c>
      <c r="S57" s="37">
        <v>7.7000000000000002E-3</v>
      </c>
      <c r="T57" s="5">
        <v>33946</v>
      </c>
      <c r="U57" s="9">
        <f t="shared" si="20"/>
        <v>5.445283136085477E-2</v>
      </c>
      <c r="V57" s="5">
        <v>402</v>
      </c>
      <c r="W57" s="9">
        <f t="shared" si="21"/>
        <v>0.31372549019607843</v>
      </c>
      <c r="X57" s="11">
        <v>45382</v>
      </c>
      <c r="Y57" s="9">
        <f t="shared" si="19"/>
        <v>9.6766397602590759E-2</v>
      </c>
      <c r="Z57" s="12">
        <v>24810</v>
      </c>
      <c r="AA57" s="37">
        <f t="shared" si="22"/>
        <v>-0.14027306119620209</v>
      </c>
      <c r="AB57" s="5">
        <v>23759</v>
      </c>
      <c r="AC57" s="9">
        <v>-1.2181939131880924E-2</v>
      </c>
      <c r="AD57" s="5">
        <v>21229</v>
      </c>
      <c r="AE57" s="9">
        <v>0.308</v>
      </c>
      <c r="AF57" s="5">
        <v>4169</v>
      </c>
      <c r="AG57" s="36">
        <f t="shared" si="24"/>
        <v>0.1362769146906514</v>
      </c>
      <c r="AH57" s="3">
        <v>13006</v>
      </c>
      <c r="AI57" s="9"/>
      <c r="AJ57" s="426"/>
      <c r="AK57" s="438"/>
      <c r="AL57" s="5"/>
      <c r="AM57" s="37"/>
      <c r="AN57" s="38">
        <v>753</v>
      </c>
      <c r="AO57" s="9">
        <f t="shared" si="25"/>
        <v>-0.21644120707596259</v>
      </c>
      <c r="AP57" s="426">
        <f>AP170*0.197</f>
        <v>15720.994000000001</v>
      </c>
      <c r="AQ57" s="438">
        <f>(AP57/AP45-1)</f>
        <v>8.0608726422292332E-2</v>
      </c>
      <c r="AR57" s="5">
        <v>0</v>
      </c>
      <c r="AS57" s="99">
        <f t="shared" si="13"/>
        <v>-1</v>
      </c>
      <c r="AT57" s="412"/>
      <c r="AU57" s="39"/>
      <c r="AV57" s="412"/>
      <c r="AW57" s="415"/>
      <c r="AX57" s="5"/>
      <c r="AY57" s="9"/>
      <c r="AZ57" s="5">
        <v>607</v>
      </c>
      <c r="BA57" s="9">
        <f t="shared" si="23"/>
        <v>-0.10339734121122601</v>
      </c>
      <c r="BB57" s="5">
        <v>32</v>
      </c>
      <c r="BC57" s="238">
        <v>0.308</v>
      </c>
    </row>
    <row r="58" spans="1:55" s="157" customFormat="1" ht="13.5" customHeight="1">
      <c r="A58" s="461"/>
      <c r="B58" s="15" t="s">
        <v>23</v>
      </c>
      <c r="C58" s="5">
        <v>1099977</v>
      </c>
      <c r="D58" s="9">
        <v>-7.0000000000000001E-3</v>
      </c>
      <c r="E58" s="178"/>
      <c r="F58" s="5">
        <v>229000</v>
      </c>
      <c r="G58" s="9">
        <f t="shared" si="17"/>
        <v>8.3485131650540556E-2</v>
      </c>
      <c r="H58" s="5">
        <v>380551</v>
      </c>
      <c r="I58" s="9">
        <f t="shared" si="26"/>
        <v>-9.0606905681929514E-2</v>
      </c>
      <c r="J58" s="5">
        <v>23256</v>
      </c>
      <c r="K58" s="9">
        <v>0.33</v>
      </c>
      <c r="L58" s="53">
        <v>86465</v>
      </c>
      <c r="M58" s="37">
        <v>0.32600000000000001</v>
      </c>
      <c r="N58" s="5">
        <v>78793</v>
      </c>
      <c r="O58" s="9">
        <f t="shared" si="18"/>
        <v>-4.4226640303739732E-2</v>
      </c>
      <c r="P58" s="5">
        <v>38479</v>
      </c>
      <c r="Q58" s="9">
        <f t="shared" si="11"/>
        <v>7.7903524006947167E-2</v>
      </c>
      <c r="R58" s="53">
        <v>26232</v>
      </c>
      <c r="S58" s="37">
        <v>0.64670000000000005</v>
      </c>
      <c r="T58" s="5">
        <v>36412</v>
      </c>
      <c r="U58" s="9">
        <f t="shared" si="20"/>
        <v>5.8703806007036397E-2</v>
      </c>
      <c r="V58" s="5">
        <v>288</v>
      </c>
      <c r="W58" s="9">
        <f t="shared" si="21"/>
        <v>0.17073170731707318</v>
      </c>
      <c r="X58" s="11">
        <v>49476</v>
      </c>
      <c r="Y58" s="9">
        <f t="shared" si="19"/>
        <v>-2.3872469715503275E-2</v>
      </c>
      <c r="Z58" s="12">
        <v>19870</v>
      </c>
      <c r="AA58" s="37">
        <f t="shared" si="22"/>
        <v>-0.19998389499536984</v>
      </c>
      <c r="AB58" s="5">
        <v>30802</v>
      </c>
      <c r="AC58" s="9">
        <v>4.0994964344857887E-2</v>
      </c>
      <c r="AD58" s="5">
        <v>22457</v>
      </c>
      <c r="AE58" s="9">
        <v>0.69799999999999995</v>
      </c>
      <c r="AF58" s="5">
        <v>3058</v>
      </c>
      <c r="AG58" s="36">
        <f t="shared" si="24"/>
        <v>0.16273764258555132</v>
      </c>
      <c r="AH58" s="3">
        <v>12685</v>
      </c>
      <c r="AI58" s="9"/>
      <c r="AJ58" s="426"/>
      <c r="AK58" s="438"/>
      <c r="AL58" s="5"/>
      <c r="AM58" s="37"/>
      <c r="AN58" s="38">
        <v>583</v>
      </c>
      <c r="AO58" s="9">
        <f t="shared" si="25"/>
        <v>-0.36423118865866955</v>
      </c>
      <c r="AP58" s="426"/>
      <c r="AQ58" s="438"/>
      <c r="AR58" s="5">
        <v>0</v>
      </c>
      <c r="AS58" s="99">
        <f t="shared" si="13"/>
        <v>-1</v>
      </c>
      <c r="AT58" s="412"/>
      <c r="AU58" s="39"/>
      <c r="AV58" s="412"/>
      <c r="AW58" s="415"/>
      <c r="AX58" s="5"/>
      <c r="AY58" s="9"/>
      <c r="AZ58" s="5">
        <v>639</v>
      </c>
      <c r="BA58" s="9">
        <f t="shared" si="23"/>
        <v>0.42953020134228193</v>
      </c>
      <c r="BB58" s="5">
        <v>68</v>
      </c>
      <c r="BC58" s="238">
        <v>0.69799999999999995</v>
      </c>
    </row>
    <row r="59" spans="1:55" s="157" customFormat="1" ht="13.5" customHeight="1">
      <c r="A59" s="461"/>
      <c r="B59" s="15" t="s">
        <v>24</v>
      </c>
      <c r="C59" s="5">
        <v>1004715</v>
      </c>
      <c r="D59" s="9">
        <v>-5.6000000000000001E-2</v>
      </c>
      <c r="E59" s="178"/>
      <c r="F59" s="5">
        <v>195700</v>
      </c>
      <c r="G59" s="9">
        <f t="shared" si="17"/>
        <v>2.8214154363473968E-2</v>
      </c>
      <c r="H59" s="5">
        <v>304727</v>
      </c>
      <c r="I59" s="9">
        <f t="shared" si="26"/>
        <v>-0.21989089168273082</v>
      </c>
      <c r="J59" s="5">
        <v>23442</v>
      </c>
      <c r="K59" s="9">
        <f t="shared" ref="K59:K87" si="27">(J59/J47-1)</f>
        <v>0.40598572542433886</v>
      </c>
      <c r="L59" s="53">
        <v>73435</v>
      </c>
      <c r="M59" s="37">
        <v>0.192</v>
      </c>
      <c r="N59" s="5">
        <v>77235</v>
      </c>
      <c r="O59" s="9">
        <f t="shared" si="18"/>
        <v>3.0128696284560342E-3</v>
      </c>
      <c r="P59" s="5">
        <v>24221</v>
      </c>
      <c r="Q59" s="9">
        <f t="shared" si="11"/>
        <v>-0.39637641429497084</v>
      </c>
      <c r="R59" s="53">
        <v>21424</v>
      </c>
      <c r="S59" s="37">
        <f t="shared" ref="S59:S87" si="28">(R59/R47-1)</f>
        <v>0.39797716150081563</v>
      </c>
      <c r="T59" s="5">
        <v>35998</v>
      </c>
      <c r="U59" s="9">
        <f t="shared" si="20"/>
        <v>-4.840201961458146E-2</v>
      </c>
      <c r="V59" s="5">
        <v>285</v>
      </c>
      <c r="W59" s="9">
        <f t="shared" si="21"/>
        <v>-0.19491525423728814</v>
      </c>
      <c r="X59" s="11">
        <v>52711</v>
      </c>
      <c r="Y59" s="9">
        <f t="shared" si="19"/>
        <v>8.5973876138283334E-2</v>
      </c>
      <c r="Z59" s="12">
        <v>18230</v>
      </c>
      <c r="AA59" s="37">
        <f t="shared" si="22"/>
        <v>-0.2532667021668783</v>
      </c>
      <c r="AB59" s="5">
        <v>29357</v>
      </c>
      <c r="AC59" s="9">
        <v>6.6363966581910641E-2</v>
      </c>
      <c r="AD59" s="5">
        <v>20348</v>
      </c>
      <c r="AE59" s="9">
        <f t="shared" ref="AE59:AE78" si="29">(AD59/AD47-1)</f>
        <v>0.58795067894490405</v>
      </c>
      <c r="AF59" s="5">
        <v>1899</v>
      </c>
      <c r="AG59" s="36">
        <f t="shared" si="24"/>
        <v>-0.29062383264848712</v>
      </c>
      <c r="AH59" s="3">
        <v>9711</v>
      </c>
      <c r="AI59" s="9"/>
      <c r="AJ59" s="426"/>
      <c r="AK59" s="438"/>
      <c r="AL59" s="5"/>
      <c r="AM59" s="37"/>
      <c r="AN59" s="38">
        <v>787</v>
      </c>
      <c r="AO59" s="9">
        <f t="shared" si="25"/>
        <v>-0.17331932773109249</v>
      </c>
      <c r="AP59" s="426"/>
      <c r="AQ59" s="438"/>
      <c r="AR59" s="5">
        <v>0</v>
      </c>
      <c r="AS59" s="99">
        <f t="shared" si="13"/>
        <v>-1</v>
      </c>
      <c r="AT59" s="412"/>
      <c r="AU59" s="39"/>
      <c r="AV59" s="412"/>
      <c r="AW59" s="415"/>
      <c r="AX59" s="5"/>
      <c r="AY59" s="9"/>
      <c r="AZ59" s="5">
        <v>497</v>
      </c>
      <c r="BA59" s="9">
        <f t="shared" si="23"/>
        <v>-6.7542213883677316E-2</v>
      </c>
      <c r="BB59" s="5">
        <v>57</v>
      </c>
      <c r="BC59" s="238">
        <f t="shared" ref="BC59:BC65" si="30">(BB59/BB47-1)</f>
        <v>-0.48648648648648651</v>
      </c>
    </row>
    <row r="60" spans="1:55" s="157" customFormat="1" ht="13.5" customHeight="1">
      <c r="A60" s="461"/>
      <c r="B60" s="15" t="s">
        <v>25</v>
      </c>
      <c r="C60" s="5">
        <v>1135843</v>
      </c>
      <c r="D60" s="9">
        <v>-0.125</v>
      </c>
      <c r="E60" s="178"/>
      <c r="F60" s="5">
        <v>237947</v>
      </c>
      <c r="G60" s="9">
        <f t="shared" si="17"/>
        <v>-6.4063028548502557E-2</v>
      </c>
      <c r="H60" s="5">
        <v>327184</v>
      </c>
      <c r="I60" s="9">
        <f t="shared" si="26"/>
        <v>-0.27065537226928221</v>
      </c>
      <c r="J60" s="5">
        <v>18310</v>
      </c>
      <c r="K60" s="9">
        <f t="shared" si="27"/>
        <v>0.14825034491408506</v>
      </c>
      <c r="L60" s="53">
        <v>78498</v>
      </c>
      <c r="M60" s="37">
        <v>2.9000000000000001E-2</v>
      </c>
      <c r="N60" s="5">
        <v>80120</v>
      </c>
      <c r="O60" s="9">
        <f t="shared" si="18"/>
        <v>-0.12485936800253411</v>
      </c>
      <c r="P60" s="5">
        <v>32443</v>
      </c>
      <c r="Q60" s="9">
        <f t="shared" si="11"/>
        <v>-1.8217582085035558E-2</v>
      </c>
      <c r="R60" s="53">
        <v>22828</v>
      </c>
      <c r="S60" s="37">
        <f t="shared" si="28"/>
        <v>0.28869820480975505</v>
      </c>
      <c r="T60" s="5">
        <v>39614</v>
      </c>
      <c r="U60" s="9">
        <f t="shared" si="20"/>
        <v>-0.14045175429079781</v>
      </c>
      <c r="V60" s="5">
        <v>453</v>
      </c>
      <c r="W60" s="9">
        <f t="shared" si="21"/>
        <v>-6.5789473684210523E-3</v>
      </c>
      <c r="X60" s="11">
        <v>57903</v>
      </c>
      <c r="Y60" s="9">
        <f t="shared" si="19"/>
        <v>-7.6389331972181451E-2</v>
      </c>
      <c r="Z60" s="12">
        <v>19470</v>
      </c>
      <c r="AA60" s="37">
        <f t="shared" si="22"/>
        <v>-0.11346871869592934</v>
      </c>
      <c r="AB60" s="5">
        <v>27698</v>
      </c>
      <c r="AC60" s="9">
        <v>-0.10789744911105385</v>
      </c>
      <c r="AD60" s="5">
        <v>27512</v>
      </c>
      <c r="AE60" s="9">
        <f t="shared" si="29"/>
        <v>0.28699069092950369</v>
      </c>
      <c r="AF60" s="5">
        <v>1756</v>
      </c>
      <c r="AG60" s="36">
        <f t="shared" si="24"/>
        <v>-9.9948744233726294E-2</v>
      </c>
      <c r="AH60" s="3">
        <v>11274</v>
      </c>
      <c r="AI60" s="9"/>
      <c r="AJ60" s="426">
        <v>28761</v>
      </c>
      <c r="AK60" s="438">
        <f>(SUM(AJ60:AJ65)/AJ48-1)</f>
        <v>0.395081490104773</v>
      </c>
      <c r="AL60" s="5"/>
      <c r="AM60" s="37"/>
      <c r="AN60" s="38">
        <v>985</v>
      </c>
      <c r="AO60" s="9">
        <f t="shared" si="25"/>
        <v>-0.24405218726016886</v>
      </c>
      <c r="AP60" s="426">
        <f>AP170*0.26</f>
        <v>20748.52</v>
      </c>
      <c r="AQ60" s="427">
        <f>(AP60/AP48-1)</f>
        <v>-1.8785335114621105E-2</v>
      </c>
      <c r="AR60" s="5">
        <v>0</v>
      </c>
      <c r="AS60" s="99">
        <f t="shared" si="13"/>
        <v>-1</v>
      </c>
      <c r="AT60" s="412"/>
      <c r="AU60" s="39"/>
      <c r="AV60" s="412"/>
      <c r="AW60" s="415"/>
      <c r="AX60" s="5"/>
      <c r="AY60" s="9"/>
      <c r="AZ60" s="5">
        <v>1274</v>
      </c>
      <c r="BA60" s="9">
        <f t="shared" si="23"/>
        <v>-1.0101010101010055E-2</v>
      </c>
      <c r="BB60" s="5">
        <v>89</v>
      </c>
      <c r="BC60" s="238">
        <f t="shared" si="30"/>
        <v>-0.51891891891891895</v>
      </c>
    </row>
    <row r="61" spans="1:55" s="157" customFormat="1" ht="13.5" customHeight="1">
      <c r="A61" s="461"/>
      <c r="B61" s="15" t="s">
        <v>26</v>
      </c>
      <c r="C61" s="5">
        <v>1163809</v>
      </c>
      <c r="D61" s="9">
        <v>-0.111</v>
      </c>
      <c r="E61" s="178"/>
      <c r="F61" s="5">
        <v>248154</v>
      </c>
      <c r="G61" s="9">
        <f t="shared" si="17"/>
        <v>-8.5574680241877532E-2</v>
      </c>
      <c r="H61" s="5">
        <v>341625</v>
      </c>
      <c r="I61" s="9">
        <f t="shared" si="26"/>
        <v>-0.29052496479882373</v>
      </c>
      <c r="J61" s="5">
        <v>22410</v>
      </c>
      <c r="K61" s="9">
        <f t="shared" si="27"/>
        <v>0.20173745173745172</v>
      </c>
      <c r="L61" s="53">
        <v>88001</v>
      </c>
      <c r="M61" s="37">
        <v>-8.9999999999999993E-3</v>
      </c>
      <c r="N61" s="5">
        <v>85350</v>
      </c>
      <c r="O61" s="9">
        <f t="shared" si="18"/>
        <v>-0.11188112630330274</v>
      </c>
      <c r="P61" s="5">
        <v>49786</v>
      </c>
      <c r="Q61" s="9">
        <f t="shared" ref="Q61:Q87" si="31">(P61/P49-1)</f>
        <v>0.26139501887557315</v>
      </c>
      <c r="R61" s="53">
        <v>30415</v>
      </c>
      <c r="S61" s="37">
        <f t="shared" si="28"/>
        <v>0.34104938271604945</v>
      </c>
      <c r="T61" s="5">
        <v>42338</v>
      </c>
      <c r="U61" s="9">
        <f t="shared" si="20"/>
        <v>-7.7241619807331796E-2</v>
      </c>
      <c r="V61" s="5">
        <v>339</v>
      </c>
      <c r="W61" s="9">
        <f t="shared" si="21"/>
        <v>-4.2372881355932202E-2</v>
      </c>
      <c r="X61" s="11">
        <v>52803</v>
      </c>
      <c r="Y61" s="9">
        <f t="shared" si="19"/>
        <v>-3.362005856515371E-2</v>
      </c>
      <c r="Z61" s="12">
        <v>21816</v>
      </c>
      <c r="AA61" s="37">
        <f t="shared" si="22"/>
        <v>3.4497033255140863E-3</v>
      </c>
      <c r="AB61" s="5">
        <v>32355</v>
      </c>
      <c r="AC61" s="9">
        <v>0.12794143280460171</v>
      </c>
      <c r="AD61" s="5">
        <v>27473</v>
      </c>
      <c r="AE61" s="9">
        <f t="shared" si="29"/>
        <v>0.24211049823673036</v>
      </c>
      <c r="AF61" s="5">
        <v>1974</v>
      </c>
      <c r="AG61" s="36">
        <f t="shared" si="24"/>
        <v>-0.31315240083507306</v>
      </c>
      <c r="AH61" s="3">
        <v>10524</v>
      </c>
      <c r="AI61" s="9"/>
      <c r="AJ61" s="426"/>
      <c r="AK61" s="438"/>
      <c r="AL61" s="5"/>
      <c r="AM61" s="37"/>
      <c r="AN61" s="38">
        <v>1093</v>
      </c>
      <c r="AO61" s="9">
        <f t="shared" si="25"/>
        <v>6.0135790494665331E-2</v>
      </c>
      <c r="AP61" s="426"/>
      <c r="AQ61" s="427"/>
      <c r="AR61" s="5">
        <v>0</v>
      </c>
      <c r="AS61" s="99" t="str">
        <f t="shared" si="13"/>
        <v>-</v>
      </c>
      <c r="AT61" s="412"/>
      <c r="AU61" s="39"/>
      <c r="AV61" s="412"/>
      <c r="AW61" s="415"/>
      <c r="AX61" s="5"/>
      <c r="AY61" s="9"/>
      <c r="AZ61" s="5">
        <v>871</v>
      </c>
      <c r="BA61" s="9">
        <f t="shared" si="23"/>
        <v>-0.12812812812812813</v>
      </c>
      <c r="BB61" s="5">
        <v>101</v>
      </c>
      <c r="BC61" s="238">
        <f t="shared" si="30"/>
        <v>1.7297297297297298</v>
      </c>
    </row>
    <row r="62" spans="1:55" s="157" customFormat="1" ht="13.5" customHeight="1">
      <c r="A62" s="461"/>
      <c r="B62" s="15" t="s">
        <v>27</v>
      </c>
      <c r="C62" s="5">
        <v>818747</v>
      </c>
      <c r="D62" s="9">
        <v>-0.19400000000000001</v>
      </c>
      <c r="E62" s="178"/>
      <c r="F62" s="5">
        <v>159523</v>
      </c>
      <c r="G62" s="9">
        <f t="shared" si="17"/>
        <v>-0.20748089782697257</v>
      </c>
      <c r="H62" s="5">
        <v>273132</v>
      </c>
      <c r="I62" s="9">
        <f t="shared" si="26"/>
        <v>-0.24372637787099721</v>
      </c>
      <c r="J62" s="5">
        <v>16448</v>
      </c>
      <c r="K62" s="9">
        <f t="shared" si="27"/>
        <v>-6.9998869162049115E-2</v>
      </c>
      <c r="L62" s="53">
        <v>55338</v>
      </c>
      <c r="M62" s="37">
        <v>-0.16800000000000001</v>
      </c>
      <c r="N62" s="5">
        <v>38211</v>
      </c>
      <c r="O62" s="9">
        <f t="shared" si="18"/>
        <v>-0.46074598851239784</v>
      </c>
      <c r="P62" s="5">
        <v>30417</v>
      </c>
      <c r="Q62" s="9">
        <f t="shared" si="31"/>
        <v>-0.18358966100330143</v>
      </c>
      <c r="R62" s="53">
        <v>16774</v>
      </c>
      <c r="S62" s="37">
        <f t="shared" si="28"/>
        <v>-2.1410652820722298E-2</v>
      </c>
      <c r="T62" s="5">
        <v>25914</v>
      </c>
      <c r="U62" s="9">
        <f t="shared" si="20"/>
        <v>-0.14260190577024878</v>
      </c>
      <c r="V62" s="5">
        <v>216</v>
      </c>
      <c r="W62" s="9">
        <f t="shared" si="21"/>
        <v>-0.30097087378640774</v>
      </c>
      <c r="X62" s="11">
        <v>36965</v>
      </c>
      <c r="Y62" s="9">
        <f t="shared" si="19"/>
        <v>-0.1415666148022573</v>
      </c>
      <c r="Z62" s="12">
        <v>14699</v>
      </c>
      <c r="AA62" s="37">
        <f t="shared" si="22"/>
        <v>-3.365985142331207E-2</v>
      </c>
      <c r="AB62" s="5">
        <v>23347</v>
      </c>
      <c r="AC62" s="9">
        <v>-9.2930493083255537E-3</v>
      </c>
      <c r="AD62" s="5">
        <v>18617</v>
      </c>
      <c r="AE62" s="9">
        <f t="shared" si="29"/>
        <v>0.30636446565153319</v>
      </c>
      <c r="AF62" s="5">
        <v>2483</v>
      </c>
      <c r="AG62" s="36">
        <f t="shared" si="24"/>
        <v>1.1405172413793103</v>
      </c>
      <c r="AH62" s="3">
        <v>7923</v>
      </c>
      <c r="AI62" s="9"/>
      <c r="AJ62" s="426"/>
      <c r="AK62" s="438"/>
      <c r="AL62" s="5"/>
      <c r="AM62" s="37"/>
      <c r="AN62" s="38">
        <v>706</v>
      </c>
      <c r="AO62" s="9">
        <f t="shared" si="25"/>
        <v>-9.9489795918367374E-2</v>
      </c>
      <c r="AP62" s="426"/>
      <c r="AQ62" s="427"/>
      <c r="AR62" s="5">
        <v>0</v>
      </c>
      <c r="AS62" s="99" t="str">
        <f t="shared" si="13"/>
        <v>-</v>
      </c>
      <c r="AT62" s="412"/>
      <c r="AU62" s="39"/>
      <c r="AV62" s="412"/>
      <c r="AW62" s="415"/>
      <c r="AX62" s="5"/>
      <c r="AY62" s="9"/>
      <c r="AZ62" s="5">
        <v>526</v>
      </c>
      <c r="BA62" s="9">
        <f t="shared" si="23"/>
        <v>-0.39747995418098514</v>
      </c>
      <c r="BB62" s="5">
        <v>37</v>
      </c>
      <c r="BC62" s="238">
        <f t="shared" si="30"/>
        <v>-0.36206896551724133</v>
      </c>
    </row>
    <row r="63" spans="1:55" s="157" customFormat="1" ht="13.5" customHeight="1">
      <c r="A63" s="461"/>
      <c r="B63" s="15" t="s">
        <v>28</v>
      </c>
      <c r="C63" s="5">
        <v>932716</v>
      </c>
      <c r="D63" s="9">
        <v>-0.13500000000000001</v>
      </c>
      <c r="E63" s="178"/>
      <c r="F63" s="5">
        <v>188804</v>
      </c>
      <c r="G63" s="9">
        <f t="shared" si="17"/>
        <v>-0.15234559143743517</v>
      </c>
      <c r="H63" s="5">
        <v>334680</v>
      </c>
      <c r="I63" s="9">
        <f t="shared" si="26"/>
        <v>-0.19233943559324487</v>
      </c>
      <c r="J63" s="5">
        <v>17392</v>
      </c>
      <c r="K63" s="9">
        <f t="shared" si="27"/>
        <v>0.12336907376307971</v>
      </c>
      <c r="L63" s="53">
        <v>66823</v>
      </c>
      <c r="M63" s="37">
        <v>2.5999999999999999E-2</v>
      </c>
      <c r="N63" s="5">
        <v>59713</v>
      </c>
      <c r="O63" s="9">
        <f t="shared" si="18"/>
        <v>-0.22624493022170966</v>
      </c>
      <c r="P63" s="5">
        <v>33898</v>
      </c>
      <c r="Q63" s="9">
        <f t="shared" si="31"/>
        <v>8.2830218814885725E-2</v>
      </c>
      <c r="R63" s="53">
        <v>19889</v>
      </c>
      <c r="S63" s="37">
        <f t="shared" si="28"/>
        <v>0.18218021873514023</v>
      </c>
      <c r="T63" s="5">
        <v>30930</v>
      </c>
      <c r="U63" s="9">
        <f t="shared" si="20"/>
        <v>-7.2647138188468796E-2</v>
      </c>
      <c r="V63" s="5">
        <v>414</v>
      </c>
      <c r="W63" s="9">
        <f t="shared" si="21"/>
        <v>0.12195121951219512</v>
      </c>
      <c r="X63" s="11">
        <v>45007</v>
      </c>
      <c r="Y63" s="9">
        <f t="shared" si="19"/>
        <v>-9.4408338195939523E-2</v>
      </c>
      <c r="Z63" s="12">
        <v>18457</v>
      </c>
      <c r="AA63" s="37">
        <f t="shared" si="22"/>
        <v>-8.8047828450022236E-2</v>
      </c>
      <c r="AB63" s="5">
        <v>29941</v>
      </c>
      <c r="AC63" s="9">
        <v>4.258653109548019E-2</v>
      </c>
      <c r="AD63" s="5">
        <v>19257</v>
      </c>
      <c r="AE63" s="9">
        <f t="shared" si="29"/>
        <v>0.42160047246419596</v>
      </c>
      <c r="AF63" s="5">
        <v>3000</v>
      </c>
      <c r="AG63" s="36">
        <f t="shared" si="24"/>
        <v>0.35869565217391303</v>
      </c>
      <c r="AH63" s="3">
        <v>8990</v>
      </c>
      <c r="AI63" s="9"/>
      <c r="AJ63" s="426"/>
      <c r="AK63" s="438"/>
      <c r="AL63" s="5"/>
      <c r="AM63" s="37"/>
      <c r="AN63" s="38">
        <v>816</v>
      </c>
      <c r="AO63" s="9">
        <f t="shared" si="25"/>
        <v>0.64848484848484844</v>
      </c>
      <c r="AP63" s="426">
        <f>AP170*0.182</f>
        <v>14523.964</v>
      </c>
      <c r="AQ63" s="427">
        <f>(AP63/AP51-1)</f>
        <v>-0.32924778767601048</v>
      </c>
      <c r="AR63" s="5">
        <v>0</v>
      </c>
      <c r="AS63" s="99">
        <f t="shared" si="13"/>
        <v>-1</v>
      </c>
      <c r="AT63" s="412"/>
      <c r="AU63" s="39"/>
      <c r="AV63" s="412"/>
      <c r="AW63" s="415"/>
      <c r="AX63" s="5"/>
      <c r="AY63" s="9"/>
      <c r="AZ63" s="5">
        <v>1074</v>
      </c>
      <c r="BA63" s="9">
        <f t="shared" si="23"/>
        <v>0.24449594438006961</v>
      </c>
      <c r="BB63" s="5">
        <v>95</v>
      </c>
      <c r="BC63" s="238">
        <f t="shared" si="30"/>
        <v>0.39705882352941169</v>
      </c>
    </row>
    <row r="64" spans="1:55" s="157" customFormat="1" ht="13.5" customHeight="1">
      <c r="A64" s="461"/>
      <c r="B64" s="15" t="s">
        <v>29</v>
      </c>
      <c r="C64" s="5">
        <v>707012</v>
      </c>
      <c r="D64" s="9">
        <v>-0.34079999999999999</v>
      </c>
      <c r="E64" s="178"/>
      <c r="F64" s="5">
        <v>117518</v>
      </c>
      <c r="G64" s="9">
        <f t="shared" si="17"/>
        <v>-0.46213064333052617</v>
      </c>
      <c r="H64" s="5">
        <v>238319</v>
      </c>
      <c r="I64" s="9">
        <f t="shared" si="26"/>
        <v>-0.37182312286824359</v>
      </c>
      <c r="J64" s="5">
        <v>14219</v>
      </c>
      <c r="K64" s="9">
        <f t="shared" si="27"/>
        <v>-0.32611374407582938</v>
      </c>
      <c r="L64" s="53">
        <v>56108</v>
      </c>
      <c r="M64" s="37">
        <v>2.3E-2</v>
      </c>
      <c r="N64" s="5">
        <v>54854</v>
      </c>
      <c r="O64" s="9">
        <f t="shared" si="18"/>
        <v>-0.43213557356853732</v>
      </c>
      <c r="P64" s="5">
        <v>24360</v>
      </c>
      <c r="Q64" s="9">
        <f t="shared" si="31"/>
        <v>-0.36696031807905205</v>
      </c>
      <c r="R64" s="53">
        <v>15028</v>
      </c>
      <c r="S64" s="37">
        <f t="shared" si="28"/>
        <v>-0.26606759132643099</v>
      </c>
      <c r="T64" s="5">
        <v>24442</v>
      </c>
      <c r="U64" s="9">
        <f t="shared" si="20"/>
        <v>-0.44384272321834894</v>
      </c>
      <c r="V64" s="5">
        <v>301</v>
      </c>
      <c r="W64" s="9">
        <f t="shared" si="21"/>
        <v>-0.46913580246913578</v>
      </c>
      <c r="X64" s="11">
        <v>44441</v>
      </c>
      <c r="Y64" s="9">
        <f t="shared" si="19"/>
        <v>-0.30547915234106393</v>
      </c>
      <c r="Z64" s="12">
        <v>16553</v>
      </c>
      <c r="AA64" s="37">
        <f t="shared" si="22"/>
        <v>-0.28730732799448888</v>
      </c>
      <c r="AB64" s="5">
        <v>26879</v>
      </c>
      <c r="AC64" s="9">
        <v>-0.1657407120022347</v>
      </c>
      <c r="AD64" s="5">
        <v>17323</v>
      </c>
      <c r="AE64" s="9">
        <f t="shared" si="29"/>
        <v>-0.38880852415058387</v>
      </c>
      <c r="AF64" s="5">
        <v>2700</v>
      </c>
      <c r="AG64" s="36">
        <f t="shared" si="24"/>
        <v>0.15187713310580206</v>
      </c>
      <c r="AH64" s="3">
        <v>7033</v>
      </c>
      <c r="AI64" s="9"/>
      <c r="AJ64" s="426"/>
      <c r="AK64" s="438"/>
      <c r="AL64" s="5"/>
      <c r="AM64" s="37"/>
      <c r="AN64" s="38">
        <v>853</v>
      </c>
      <c r="AO64" s="9">
        <f t="shared" si="25"/>
        <v>0.18472222222222223</v>
      </c>
      <c r="AP64" s="426"/>
      <c r="AQ64" s="427"/>
      <c r="AR64" s="5">
        <v>0</v>
      </c>
      <c r="AS64" s="99">
        <f t="shared" si="13"/>
        <v>-1</v>
      </c>
      <c r="AT64" s="412"/>
      <c r="AU64" s="39"/>
      <c r="AV64" s="412"/>
      <c r="AW64" s="415"/>
      <c r="AX64" s="5"/>
      <c r="AY64" s="9"/>
      <c r="AZ64" s="5">
        <v>827</v>
      </c>
      <c r="BA64" s="9">
        <f t="shared" si="23"/>
        <v>-0.15526046986721143</v>
      </c>
      <c r="BB64" s="5">
        <v>73</v>
      </c>
      <c r="BC64" s="238">
        <f t="shared" si="30"/>
        <v>0.48979591836734704</v>
      </c>
    </row>
    <row r="65" spans="1:55" s="157" customFormat="1" ht="13.5" customHeight="1">
      <c r="A65" s="462"/>
      <c r="B65" s="41" t="s">
        <v>30</v>
      </c>
      <c r="C65" s="42">
        <v>667564</v>
      </c>
      <c r="D65" s="19">
        <v>-0.38290000000000002</v>
      </c>
      <c r="E65" s="178"/>
      <c r="F65" s="42">
        <v>108002</v>
      </c>
      <c r="G65" s="19">
        <f t="shared" si="17"/>
        <v>-0.48324401913875598</v>
      </c>
      <c r="H65" s="42">
        <v>217975</v>
      </c>
      <c r="I65" s="19">
        <f t="shared" si="26"/>
        <v>-0.39127581440160858</v>
      </c>
      <c r="J65" s="42">
        <v>12205</v>
      </c>
      <c r="K65" s="19">
        <f t="shared" si="27"/>
        <v>-0.46840019164597757</v>
      </c>
      <c r="L65" s="55">
        <v>58839</v>
      </c>
      <c r="M65" s="37">
        <v>-0.41399999999999998</v>
      </c>
      <c r="N65" s="42">
        <v>33193</v>
      </c>
      <c r="O65" s="9">
        <f t="shared" si="18"/>
        <v>-0.68641177526476393</v>
      </c>
      <c r="P65" s="42">
        <v>32727</v>
      </c>
      <c r="Q65" s="19">
        <f t="shared" si="31"/>
        <v>-0.24699737701900515</v>
      </c>
      <c r="R65" s="55">
        <v>16360</v>
      </c>
      <c r="S65" s="45">
        <f t="shared" si="28"/>
        <v>-0.42881083723203683</v>
      </c>
      <c r="T65" s="42">
        <v>22304</v>
      </c>
      <c r="U65" s="19">
        <f t="shared" si="20"/>
        <v>-0.43730763408850093</v>
      </c>
      <c r="V65" s="42">
        <v>258</v>
      </c>
      <c r="W65" s="9">
        <f t="shared" si="21"/>
        <v>-0.44516129032258067</v>
      </c>
      <c r="X65" s="48">
        <v>51794</v>
      </c>
      <c r="Y65" s="19">
        <f t="shared" si="19"/>
        <v>-0.2259385461501674</v>
      </c>
      <c r="Z65" s="49">
        <v>15084</v>
      </c>
      <c r="AA65" s="45">
        <f t="shared" si="22"/>
        <v>-0.46341289886521286</v>
      </c>
      <c r="AB65" s="42">
        <v>24272</v>
      </c>
      <c r="AC65" s="19">
        <v>-0.158</v>
      </c>
      <c r="AD65" s="42">
        <v>18666</v>
      </c>
      <c r="AE65" s="19">
        <f t="shared" si="29"/>
        <v>0.16786585747356564</v>
      </c>
      <c r="AF65" s="42">
        <v>1200</v>
      </c>
      <c r="AG65" s="43">
        <f t="shared" si="24"/>
        <v>3.7165082108902334E-2</v>
      </c>
      <c r="AH65" s="3">
        <v>4891</v>
      </c>
      <c r="AI65" s="19"/>
      <c r="AJ65" s="433"/>
      <c r="AK65" s="439"/>
      <c r="AL65" s="42"/>
      <c r="AM65" s="37"/>
      <c r="AN65" s="46">
        <v>872</v>
      </c>
      <c r="AO65" s="19">
        <f t="shared" si="25"/>
        <v>-0.36070381231671556</v>
      </c>
      <c r="AP65" s="433"/>
      <c r="AQ65" s="427"/>
      <c r="AR65" s="42">
        <v>0</v>
      </c>
      <c r="AS65" s="99" t="str">
        <f t="shared" si="13"/>
        <v>-</v>
      </c>
      <c r="AT65" s="413"/>
      <c r="AU65" s="47"/>
      <c r="AV65" s="413"/>
      <c r="AW65" s="416"/>
      <c r="AX65" s="42"/>
      <c r="AY65" s="9"/>
      <c r="AZ65" s="42">
        <v>950</v>
      </c>
      <c r="BA65" s="9">
        <f t="shared" si="23"/>
        <v>-9.5238095238095233E-2</v>
      </c>
      <c r="BB65" s="42">
        <v>146</v>
      </c>
      <c r="BC65" s="241">
        <f t="shared" si="30"/>
        <v>0.21666666666666656</v>
      </c>
    </row>
    <row r="66" spans="1:55" s="157" customFormat="1" ht="13.5" customHeight="1">
      <c r="A66" s="457" t="s">
        <v>148</v>
      </c>
      <c r="B66" s="2" t="s">
        <v>132</v>
      </c>
      <c r="C66" s="25">
        <v>812901</v>
      </c>
      <c r="D66" s="24">
        <v>-0.38600000000000001</v>
      </c>
      <c r="E66" s="178"/>
      <c r="F66" s="25">
        <v>129756</v>
      </c>
      <c r="G66" s="9">
        <f t="shared" si="17"/>
        <v>-0.52242914979757082</v>
      </c>
      <c r="H66" s="25">
        <v>238000</v>
      </c>
      <c r="I66" s="9">
        <f t="shared" si="26"/>
        <v>-0.44213302080281275</v>
      </c>
      <c r="J66" s="25">
        <v>16057</v>
      </c>
      <c r="K66" s="24">
        <f t="shared" si="27"/>
        <v>-0.50962008306865381</v>
      </c>
      <c r="L66" s="56">
        <v>58451</v>
      </c>
      <c r="M66" s="28">
        <v>-0.42599999999999999</v>
      </c>
      <c r="N66" s="25">
        <v>56484</v>
      </c>
      <c r="O66" s="24">
        <f t="shared" si="18"/>
        <v>-0.52300767626269873</v>
      </c>
      <c r="P66" s="25">
        <v>30934</v>
      </c>
      <c r="Q66" s="9">
        <f t="shared" si="31"/>
        <v>-0.3447435870278972</v>
      </c>
      <c r="R66" s="56">
        <v>18489</v>
      </c>
      <c r="S66" s="37">
        <f t="shared" si="28"/>
        <v>-0.48035413153456996</v>
      </c>
      <c r="T66" s="25">
        <v>25516</v>
      </c>
      <c r="U66" s="9">
        <f t="shared" si="20"/>
        <v>-0.49405139593908631</v>
      </c>
      <c r="V66" s="3">
        <v>376</v>
      </c>
      <c r="W66" s="28">
        <f t="shared" ref="W66:W77" si="32">(V66-V54)/V54</f>
        <v>-0.40317460317460319</v>
      </c>
      <c r="X66" s="11">
        <v>54753</v>
      </c>
      <c r="Y66" s="9">
        <f t="shared" si="19"/>
        <v>-0.21243635108311043</v>
      </c>
      <c r="Z66" s="58">
        <v>22524</v>
      </c>
      <c r="AA66" s="59">
        <f t="shared" ref="AA66:AA77" si="33">+Z66/Z54-1</f>
        <v>-0.38243035753454702</v>
      </c>
      <c r="AB66" s="3">
        <v>17339</v>
      </c>
      <c r="AC66" s="24">
        <v>-0.47599999999999998</v>
      </c>
      <c r="AD66" s="25">
        <v>23690</v>
      </c>
      <c r="AE66" s="9">
        <f t="shared" si="29"/>
        <v>-9.6353371986573122E-2</v>
      </c>
      <c r="AF66" s="29">
        <v>1500</v>
      </c>
      <c r="AG66" s="26">
        <f>(AF66-AF54)/AF54</f>
        <v>-0.73647224174279691</v>
      </c>
      <c r="AH66" s="23">
        <v>5730</v>
      </c>
      <c r="AI66" s="9">
        <f t="shared" ref="AI66:AI97" si="34">(AH66-AH54)/AH54</f>
        <v>-0.60422710319104844</v>
      </c>
      <c r="AJ66" s="440">
        <v>11084</v>
      </c>
      <c r="AK66" s="437">
        <f>(SUM(AJ66:AJ71)/AJ54-1)</f>
        <v>-0.24263751281175261</v>
      </c>
      <c r="AL66" s="3">
        <v>523</v>
      </c>
      <c r="AM66" s="28"/>
      <c r="AN66" s="29">
        <v>1190</v>
      </c>
      <c r="AO66" s="9">
        <f>(AN66/AN54-1)</f>
        <v>-0.44262295081967218</v>
      </c>
      <c r="AP66" s="440">
        <f>AP171*0.243</f>
        <v>17127.855</v>
      </c>
      <c r="AQ66" s="452">
        <f>(AP66/AP54-1)</f>
        <v>-0.40545873891065976</v>
      </c>
      <c r="AR66" s="29">
        <v>0</v>
      </c>
      <c r="AS66" s="138" t="str">
        <f t="shared" si="13"/>
        <v>-</v>
      </c>
      <c r="AT66" s="411">
        <v>49</v>
      </c>
      <c r="AU66" s="417">
        <f>AT66/AT54-1</f>
        <v>-0.49484536082474229</v>
      </c>
      <c r="AV66" s="411">
        <v>9119</v>
      </c>
      <c r="AW66" s="414">
        <f>AV66/AV54-1</f>
        <v>-0.37240192704748798</v>
      </c>
      <c r="AX66" s="29">
        <v>2222</v>
      </c>
      <c r="AY66" s="24"/>
      <c r="AZ66" s="3">
        <v>1208</v>
      </c>
      <c r="BA66" s="24">
        <f t="shared" si="23"/>
        <v>-0.54891710231516055</v>
      </c>
      <c r="BB66" s="29"/>
      <c r="BC66" s="237"/>
    </row>
    <row r="67" spans="1:55" s="157" customFormat="1" ht="13.5" customHeight="1">
      <c r="A67" s="461"/>
      <c r="B67" s="15" t="s">
        <v>133</v>
      </c>
      <c r="C67" s="5">
        <v>753642</v>
      </c>
      <c r="D67" s="9">
        <v>-0.33500000000000002</v>
      </c>
      <c r="E67" s="178"/>
      <c r="F67" s="5">
        <v>106929</v>
      </c>
      <c r="G67" s="9">
        <f t="shared" si="17"/>
        <v>-0.54478927203065131</v>
      </c>
      <c r="H67" s="5">
        <v>277900</v>
      </c>
      <c r="I67" s="9">
        <f t="shared" si="26"/>
        <v>-0.30099480588079935</v>
      </c>
      <c r="J67" s="5">
        <v>16897</v>
      </c>
      <c r="K67" s="9">
        <f t="shared" si="27"/>
        <v>-0.41520730947601581</v>
      </c>
      <c r="L67" s="53">
        <v>54222</v>
      </c>
      <c r="M67" s="37">
        <v>-0.438</v>
      </c>
      <c r="N67" s="5">
        <v>57782</v>
      </c>
      <c r="O67" s="9">
        <f t="shared" si="18"/>
        <v>-0.42121922391169342</v>
      </c>
      <c r="P67" s="5">
        <v>39271</v>
      </c>
      <c r="Q67" s="9">
        <f t="shared" si="31"/>
        <v>-0.17298094134989994</v>
      </c>
      <c r="R67" s="53">
        <v>15849</v>
      </c>
      <c r="S67" s="37">
        <f t="shared" si="28"/>
        <v>-0.52945193278308889</v>
      </c>
      <c r="T67" s="5">
        <v>27387</v>
      </c>
      <c r="U67" s="9">
        <f t="shared" si="20"/>
        <v>-0.33199180447826726</v>
      </c>
      <c r="V67" s="3">
        <v>290</v>
      </c>
      <c r="W67" s="9">
        <f t="shared" si="32"/>
        <v>-0.27860696517412936</v>
      </c>
      <c r="X67" s="11">
        <v>42091</v>
      </c>
      <c r="Y67" s="9">
        <f t="shared" si="19"/>
        <v>-0.25937851914414412</v>
      </c>
      <c r="Z67" s="58">
        <v>22045</v>
      </c>
      <c r="AA67" s="60">
        <f t="shared" si="33"/>
        <v>-0.29336154117383084</v>
      </c>
      <c r="AB67" s="3">
        <v>24258</v>
      </c>
      <c r="AC67" s="9">
        <v>-7.1999999999999995E-2</v>
      </c>
      <c r="AD67" s="5">
        <v>19693</v>
      </c>
      <c r="AE67" s="9">
        <f t="shared" si="29"/>
        <v>-0.25974514152539185</v>
      </c>
      <c r="AF67" s="38">
        <v>1800</v>
      </c>
      <c r="AG67" s="36">
        <f t="shared" ref="AG67:AG77" si="35">(AF67-AF55)/AF55</f>
        <v>-0.71232219913696659</v>
      </c>
      <c r="AH67" s="3">
        <v>4819</v>
      </c>
      <c r="AI67" s="9">
        <f t="shared" si="34"/>
        <v>-0.49512833944473544</v>
      </c>
      <c r="AJ67" s="426"/>
      <c r="AK67" s="438"/>
      <c r="AL67" s="3">
        <v>768</v>
      </c>
      <c r="AM67" s="37"/>
      <c r="AN67" s="38">
        <v>1093</v>
      </c>
      <c r="AO67" s="9">
        <f t="shared" ref="AO67:AO77" si="36">(AN67/AN55-1)</f>
        <v>-0.22206405693950182</v>
      </c>
      <c r="AP67" s="426"/>
      <c r="AQ67" s="427"/>
      <c r="AR67" s="38">
        <v>0</v>
      </c>
      <c r="AS67" s="99" t="str">
        <f t="shared" si="13"/>
        <v>-</v>
      </c>
      <c r="AT67" s="412"/>
      <c r="AU67" s="418"/>
      <c r="AV67" s="412"/>
      <c r="AW67" s="415"/>
      <c r="AX67" s="38">
        <v>1433</v>
      </c>
      <c r="AY67" s="9"/>
      <c r="AZ67" s="3">
        <v>1046</v>
      </c>
      <c r="BA67" s="9">
        <f t="shared" si="23"/>
        <v>-0.26129943502824859</v>
      </c>
      <c r="BB67" s="38"/>
      <c r="BC67" s="238"/>
    </row>
    <row r="68" spans="1:55" s="157" customFormat="1" ht="13.5" customHeight="1">
      <c r="A68" s="461"/>
      <c r="B68" s="15" t="s">
        <v>21</v>
      </c>
      <c r="C68" s="5">
        <v>702043</v>
      </c>
      <c r="D68" s="9">
        <v>-0.28599999999999998</v>
      </c>
      <c r="E68" s="178"/>
      <c r="F68" s="61">
        <v>108350</v>
      </c>
      <c r="G68" s="9">
        <f t="shared" si="17"/>
        <v>-0.42213333333333336</v>
      </c>
      <c r="H68" s="5">
        <v>242700</v>
      </c>
      <c r="I68" s="9">
        <f t="shared" si="26"/>
        <v>-0.30549593942619713</v>
      </c>
      <c r="J68" s="5">
        <v>14458</v>
      </c>
      <c r="K68" s="9">
        <f t="shared" si="27"/>
        <v>-0.32096562089047531</v>
      </c>
      <c r="L68" s="53">
        <v>44204</v>
      </c>
      <c r="M68" s="37">
        <v>-0.39200000000000002</v>
      </c>
      <c r="N68" s="5">
        <v>49867</v>
      </c>
      <c r="O68" s="9">
        <f t="shared" si="18"/>
        <v>-0.41907036346691517</v>
      </c>
      <c r="P68" s="5">
        <v>32572</v>
      </c>
      <c r="Q68" s="9">
        <f t="shared" si="31"/>
        <v>-0.30307893103964734</v>
      </c>
      <c r="R68" s="53">
        <v>13482</v>
      </c>
      <c r="S68" s="37">
        <f t="shared" si="28"/>
        <v>-0.39860826121866355</v>
      </c>
      <c r="T68" s="5">
        <v>20759</v>
      </c>
      <c r="U68" s="9">
        <f t="shared" si="20"/>
        <v>-0.47687926820048887</v>
      </c>
      <c r="V68" s="3">
        <v>429</v>
      </c>
      <c r="W68" s="9">
        <f t="shared" si="32"/>
        <v>0.375</v>
      </c>
      <c r="X68" s="11">
        <v>38116</v>
      </c>
      <c r="Y68" s="9">
        <f t="shared" si="19"/>
        <v>-0.21882237206156618</v>
      </c>
      <c r="Z68" s="58">
        <v>19370</v>
      </c>
      <c r="AA68" s="60">
        <f t="shared" si="33"/>
        <v>-0.35145813104764456</v>
      </c>
      <c r="AB68" s="3">
        <v>20387</v>
      </c>
      <c r="AC68" s="9">
        <v>-0.308</v>
      </c>
      <c r="AD68" s="5">
        <v>16471</v>
      </c>
      <c r="AE68" s="9">
        <f t="shared" si="29"/>
        <v>-0.24306066176470587</v>
      </c>
      <c r="AF68" s="38">
        <v>2300</v>
      </c>
      <c r="AG68" s="36">
        <f t="shared" si="35"/>
        <v>-0.32610606504541462</v>
      </c>
      <c r="AH68" s="3">
        <v>6063</v>
      </c>
      <c r="AI68" s="9">
        <f t="shared" si="34"/>
        <v>-0.3577330508474576</v>
      </c>
      <c r="AJ68" s="426"/>
      <c r="AK68" s="438"/>
      <c r="AL68" s="3">
        <v>978</v>
      </c>
      <c r="AM68" s="37"/>
      <c r="AN68" s="38">
        <v>909</v>
      </c>
      <c r="AO68" s="9">
        <f t="shared" si="36"/>
        <v>-0.34178131788559019</v>
      </c>
      <c r="AP68" s="426"/>
      <c r="AQ68" s="427"/>
      <c r="AR68" s="38">
        <v>0</v>
      </c>
      <c r="AS68" s="99" t="str">
        <f t="shared" si="13"/>
        <v>-</v>
      </c>
      <c r="AT68" s="412"/>
      <c r="AU68" s="418"/>
      <c r="AV68" s="412"/>
      <c r="AW68" s="415"/>
      <c r="AX68" s="38">
        <v>1394</v>
      </c>
      <c r="AY68" s="9"/>
      <c r="AZ68" s="3">
        <v>788</v>
      </c>
      <c r="BA68" s="9">
        <f t="shared" si="23"/>
        <v>-0.34168755221386804</v>
      </c>
      <c r="BB68" s="38"/>
      <c r="BC68" s="238"/>
    </row>
    <row r="69" spans="1:55" s="157" customFormat="1" ht="13.5" customHeight="1">
      <c r="A69" s="461"/>
      <c r="B69" s="15" t="s">
        <v>22</v>
      </c>
      <c r="C69" s="5">
        <v>734681</v>
      </c>
      <c r="D69" s="9">
        <v>-0.28399999999999997</v>
      </c>
      <c r="E69" s="178"/>
      <c r="F69" s="5">
        <v>113313</v>
      </c>
      <c r="G69" s="9">
        <f t="shared" si="17"/>
        <v>-0.4439990186457311</v>
      </c>
      <c r="H69" s="5">
        <v>264300</v>
      </c>
      <c r="I69" s="9">
        <f t="shared" ref="I69:I76" si="37">H69/H57-1</f>
        <v>-0.28286722868748149</v>
      </c>
      <c r="J69" s="5">
        <v>13294</v>
      </c>
      <c r="K69" s="9">
        <f t="shared" si="27"/>
        <v>-0.38607185739355321</v>
      </c>
      <c r="L69" s="53">
        <v>50589</v>
      </c>
      <c r="M69" s="37">
        <v>-0.27500000000000002</v>
      </c>
      <c r="N69" s="5">
        <v>45094</v>
      </c>
      <c r="O69" s="9">
        <f t="shared" si="18"/>
        <v>-0.41271619087309858</v>
      </c>
      <c r="P69" s="5">
        <v>31285</v>
      </c>
      <c r="Q69" s="9">
        <f t="shared" si="31"/>
        <v>-0.24569017480409883</v>
      </c>
      <c r="R69" s="53">
        <v>16279</v>
      </c>
      <c r="S69" s="37">
        <f t="shared" si="28"/>
        <v>-0.15054268419954075</v>
      </c>
      <c r="T69" s="5">
        <v>21323</v>
      </c>
      <c r="U69" s="9">
        <f t="shared" si="20"/>
        <v>-0.37185529959347197</v>
      </c>
      <c r="V69" s="5">
        <v>134</v>
      </c>
      <c r="W69" s="9">
        <f t="shared" si="32"/>
        <v>-0.66666666666666663</v>
      </c>
      <c r="X69" s="11">
        <v>39083</v>
      </c>
      <c r="Y69" s="9">
        <f t="shared" si="19"/>
        <v>-0.13879952404036844</v>
      </c>
      <c r="Z69" s="58">
        <v>16744</v>
      </c>
      <c r="AA69" s="60">
        <f t="shared" si="33"/>
        <v>-0.32511084240225718</v>
      </c>
      <c r="AB69" s="5">
        <v>21651</v>
      </c>
      <c r="AC69" s="9">
        <v>-8.8999999999999996E-2</v>
      </c>
      <c r="AD69" s="5">
        <v>18122</v>
      </c>
      <c r="AE69" s="9">
        <f t="shared" si="29"/>
        <v>-0.1463563992651562</v>
      </c>
      <c r="AF69" s="38">
        <v>1600</v>
      </c>
      <c r="AG69" s="36">
        <f t="shared" si="35"/>
        <v>-0.61621491964499875</v>
      </c>
      <c r="AH69" s="3">
        <v>7718</v>
      </c>
      <c r="AI69" s="9">
        <f t="shared" si="34"/>
        <v>-0.40658157773335385</v>
      </c>
      <c r="AJ69" s="426"/>
      <c r="AK69" s="438"/>
      <c r="AL69" s="5">
        <v>1264</v>
      </c>
      <c r="AM69" s="37"/>
      <c r="AN69" s="38">
        <v>739</v>
      </c>
      <c r="AO69" s="9">
        <f t="shared" si="36"/>
        <v>-1.8592297476759612E-2</v>
      </c>
      <c r="AP69" s="426">
        <f>AP171*0.193</f>
        <v>13603.605</v>
      </c>
      <c r="AQ69" s="438">
        <f>(AP69/AP57-1)</f>
        <v>-0.13468544037355401</v>
      </c>
      <c r="AR69" s="38">
        <v>25</v>
      </c>
      <c r="AS69" s="99" t="str">
        <f t="shared" si="13"/>
        <v>-</v>
      </c>
      <c r="AT69" s="412"/>
      <c r="AU69" s="418"/>
      <c r="AV69" s="412"/>
      <c r="AW69" s="415"/>
      <c r="AX69" s="38">
        <v>974</v>
      </c>
      <c r="AY69" s="9"/>
      <c r="AZ69" s="5">
        <v>1050</v>
      </c>
      <c r="BA69" s="9">
        <f t="shared" si="23"/>
        <v>0.72981878088962104</v>
      </c>
      <c r="BB69" s="38"/>
      <c r="BC69" s="238"/>
    </row>
    <row r="70" spans="1:55" s="157" customFormat="1" ht="13.5" customHeight="1">
      <c r="A70" s="461"/>
      <c r="B70" s="15" t="s">
        <v>23</v>
      </c>
      <c r="C70" s="5">
        <v>737396</v>
      </c>
      <c r="D70" s="9">
        <v>-0.33</v>
      </c>
      <c r="E70" s="178"/>
      <c r="F70" s="5">
        <v>117897</v>
      </c>
      <c r="G70" s="9">
        <f t="shared" si="17"/>
        <v>-0.48516593886462883</v>
      </c>
      <c r="H70" s="5">
        <v>269000</v>
      </c>
      <c r="I70" s="9">
        <f t="shared" si="37"/>
        <v>-0.29313022433261249</v>
      </c>
      <c r="J70" s="5">
        <v>14163</v>
      </c>
      <c r="K70" s="9">
        <f t="shared" si="27"/>
        <v>-0.39099587203302377</v>
      </c>
      <c r="L70" s="53">
        <v>48796</v>
      </c>
      <c r="M70" s="37">
        <v>-0.436</v>
      </c>
      <c r="N70" s="5">
        <v>42883</v>
      </c>
      <c r="O70" s="9">
        <f t="shared" si="18"/>
        <v>-0.45575114540631784</v>
      </c>
      <c r="P70" s="5">
        <v>37659</v>
      </c>
      <c r="Q70" s="9">
        <f t="shared" si="31"/>
        <v>-2.1310325112398942E-2</v>
      </c>
      <c r="R70" s="53">
        <v>17414</v>
      </c>
      <c r="S70" s="37">
        <f t="shared" si="28"/>
        <v>-0.3361543153400427</v>
      </c>
      <c r="T70" s="5">
        <v>21854</v>
      </c>
      <c r="U70" s="9">
        <f t="shared" si="20"/>
        <v>-0.39981324837965504</v>
      </c>
      <c r="V70" s="5">
        <v>252</v>
      </c>
      <c r="W70" s="9">
        <f t="shared" si="32"/>
        <v>-0.125</v>
      </c>
      <c r="X70" s="11">
        <v>40392</v>
      </c>
      <c r="Y70" s="9">
        <f t="shared" si="19"/>
        <v>-0.18360417171962162</v>
      </c>
      <c r="Z70" s="58">
        <v>13269</v>
      </c>
      <c r="AA70" s="60">
        <f t="shared" si="33"/>
        <v>-0.33220936084549568</v>
      </c>
      <c r="AB70" s="5">
        <v>20851</v>
      </c>
      <c r="AC70" s="9">
        <v>-0.32300000000000001</v>
      </c>
      <c r="AD70" s="5">
        <v>17520</v>
      </c>
      <c r="AE70" s="9">
        <f t="shared" si="29"/>
        <v>-0.21984236540944913</v>
      </c>
      <c r="AF70" s="38">
        <v>1200</v>
      </c>
      <c r="AG70" s="36">
        <f t="shared" si="35"/>
        <v>-0.60758665794637012</v>
      </c>
      <c r="AH70" s="3">
        <v>7080</v>
      </c>
      <c r="AI70" s="9">
        <f t="shared" si="34"/>
        <v>-0.44186046511627908</v>
      </c>
      <c r="AJ70" s="426"/>
      <c r="AK70" s="438"/>
      <c r="AL70" s="5">
        <v>1985</v>
      </c>
      <c r="AM70" s="37"/>
      <c r="AN70" s="38">
        <v>756</v>
      </c>
      <c r="AO70" s="9">
        <f t="shared" si="36"/>
        <v>0.29674099485420236</v>
      </c>
      <c r="AP70" s="426"/>
      <c r="AQ70" s="438"/>
      <c r="AR70" s="38">
        <v>0</v>
      </c>
      <c r="AS70" s="99" t="str">
        <f t="shared" si="13"/>
        <v>-</v>
      </c>
      <c r="AT70" s="412"/>
      <c r="AU70" s="418"/>
      <c r="AV70" s="412"/>
      <c r="AW70" s="415"/>
      <c r="AX70" s="38">
        <v>1036</v>
      </c>
      <c r="AY70" s="9"/>
      <c r="AZ70" s="5">
        <v>492</v>
      </c>
      <c r="BA70" s="9">
        <f t="shared" si="23"/>
        <v>-0.2300469483568075</v>
      </c>
      <c r="BB70" s="38"/>
      <c r="BC70" s="238"/>
    </row>
    <row r="71" spans="1:55" s="157" customFormat="1" ht="13.5" customHeight="1">
      <c r="A71" s="461"/>
      <c r="B71" s="15" t="s">
        <v>24</v>
      </c>
      <c r="C71" s="5">
        <v>731137</v>
      </c>
      <c r="D71" s="9">
        <v>-0.27200000000000002</v>
      </c>
      <c r="E71" s="178"/>
      <c r="F71" s="5">
        <v>104237</v>
      </c>
      <c r="G71" s="9">
        <f t="shared" si="17"/>
        <v>-0.46736331119059787</v>
      </c>
      <c r="H71" s="5">
        <v>245800</v>
      </c>
      <c r="I71" s="9">
        <f t="shared" si="37"/>
        <v>-0.19337636638696276</v>
      </c>
      <c r="J71" s="5">
        <v>13327</v>
      </c>
      <c r="K71" s="9">
        <f t="shared" si="27"/>
        <v>-0.43149048715979865</v>
      </c>
      <c r="L71" s="53">
        <v>42923</v>
      </c>
      <c r="M71" s="37">
        <v>-0.41499999999999998</v>
      </c>
      <c r="N71" s="5">
        <v>42813</v>
      </c>
      <c r="O71" s="9">
        <f t="shared" si="18"/>
        <v>-0.44567877257719946</v>
      </c>
      <c r="P71" s="5">
        <v>24956</v>
      </c>
      <c r="Q71" s="9">
        <f t="shared" si="31"/>
        <v>3.0345567895627701E-2</v>
      </c>
      <c r="R71" s="53">
        <v>13704</v>
      </c>
      <c r="S71" s="37">
        <f t="shared" si="28"/>
        <v>-0.36034353995519042</v>
      </c>
      <c r="T71" s="5">
        <v>20991</v>
      </c>
      <c r="U71" s="9">
        <f t="shared" si="20"/>
        <v>-0.41688427134840822</v>
      </c>
      <c r="V71" s="5">
        <v>231</v>
      </c>
      <c r="W71" s="9">
        <f t="shared" si="32"/>
        <v>-0.18947368421052632</v>
      </c>
      <c r="X71" s="11">
        <v>38065</v>
      </c>
      <c r="Y71" s="9">
        <f t="shared" si="19"/>
        <v>-0.27785471723169741</v>
      </c>
      <c r="Z71" s="58">
        <v>12393</v>
      </c>
      <c r="AA71" s="60">
        <f t="shared" si="33"/>
        <v>-0.32018650575973673</v>
      </c>
      <c r="AB71" s="5">
        <v>22183</v>
      </c>
      <c r="AC71" s="9">
        <v>-0.24399999999999999</v>
      </c>
      <c r="AD71" s="5">
        <v>16934</v>
      </c>
      <c r="AE71" s="9">
        <f t="shared" si="29"/>
        <v>-0.16778061725968152</v>
      </c>
      <c r="AF71" s="38">
        <v>1900</v>
      </c>
      <c r="AG71" s="36">
        <f t="shared" si="35"/>
        <v>5.2659294365455498E-4</v>
      </c>
      <c r="AH71" s="3">
        <v>7658</v>
      </c>
      <c r="AI71" s="9">
        <f t="shared" si="34"/>
        <v>-0.21140974153022346</v>
      </c>
      <c r="AJ71" s="426"/>
      <c r="AK71" s="438"/>
      <c r="AL71" s="5">
        <v>1417</v>
      </c>
      <c r="AM71" s="37"/>
      <c r="AN71" s="38">
        <v>905</v>
      </c>
      <c r="AO71" s="9">
        <f t="shared" si="36"/>
        <v>0.14993646759847512</v>
      </c>
      <c r="AP71" s="426"/>
      <c r="AQ71" s="438"/>
      <c r="AR71" s="38">
        <v>35</v>
      </c>
      <c r="AS71" s="99" t="str">
        <f t="shared" si="13"/>
        <v>-</v>
      </c>
      <c r="AT71" s="412"/>
      <c r="AU71" s="418"/>
      <c r="AV71" s="412"/>
      <c r="AW71" s="415"/>
      <c r="AX71" s="38">
        <v>941</v>
      </c>
      <c r="AY71" s="9"/>
      <c r="AZ71" s="5">
        <v>771</v>
      </c>
      <c r="BA71" s="9">
        <f t="shared" si="23"/>
        <v>0.55130784708249503</v>
      </c>
      <c r="BB71" s="38"/>
      <c r="BC71" s="238"/>
    </row>
    <row r="72" spans="1:55" s="157" customFormat="1" ht="13.5" customHeight="1">
      <c r="A72" s="461"/>
      <c r="B72" s="15" t="s">
        <v>25</v>
      </c>
      <c r="C72" s="5">
        <v>996695</v>
      </c>
      <c r="D72" s="9">
        <v>-0.123</v>
      </c>
      <c r="E72" s="178"/>
      <c r="F72" s="5">
        <v>170240</v>
      </c>
      <c r="G72" s="9">
        <f t="shared" si="17"/>
        <v>-0.28454655868743878</v>
      </c>
      <c r="H72" s="5">
        <v>312000</v>
      </c>
      <c r="I72" s="9">
        <f t="shared" si="37"/>
        <v>-4.640813731722826E-2</v>
      </c>
      <c r="J72" s="5">
        <v>14367</v>
      </c>
      <c r="K72" s="9">
        <f t="shared" si="27"/>
        <v>-0.2153468050245767</v>
      </c>
      <c r="L72" s="53">
        <v>59359</v>
      </c>
      <c r="M72" s="37">
        <v>-0.24399999999999999</v>
      </c>
      <c r="N72" s="5">
        <v>58970</v>
      </c>
      <c r="O72" s="9">
        <f t="shared" si="18"/>
        <v>-0.26397903145282076</v>
      </c>
      <c r="P72" s="5">
        <v>23906</v>
      </c>
      <c r="Q72" s="9">
        <f t="shared" si="31"/>
        <v>-0.26313842739574023</v>
      </c>
      <c r="R72" s="53">
        <v>20400</v>
      </c>
      <c r="S72" s="37">
        <f t="shared" si="28"/>
        <v>-0.10636060977746631</v>
      </c>
      <c r="T72" s="5">
        <v>30389</v>
      </c>
      <c r="U72" s="9">
        <f t="shared" si="20"/>
        <v>-0.23287221689301763</v>
      </c>
      <c r="V72" s="5">
        <v>488</v>
      </c>
      <c r="W72" s="9">
        <f t="shared" si="32"/>
        <v>7.7262693156732898E-2</v>
      </c>
      <c r="X72" s="11">
        <v>49083</v>
      </c>
      <c r="Y72" s="9">
        <f t="shared" si="19"/>
        <v>-0.15232371379721255</v>
      </c>
      <c r="Z72" s="58">
        <v>17384.181700000001</v>
      </c>
      <c r="AA72" s="60">
        <f t="shared" si="33"/>
        <v>-0.10712985618900872</v>
      </c>
      <c r="AB72" s="5">
        <v>26714</v>
      </c>
      <c r="AC72" s="9">
        <v>-3.5999999999999997E-2</v>
      </c>
      <c r="AD72" s="5">
        <v>22297</v>
      </c>
      <c r="AE72" s="9">
        <f t="shared" si="29"/>
        <v>-0.18955364931666185</v>
      </c>
      <c r="AF72" s="38">
        <v>1800</v>
      </c>
      <c r="AG72" s="36">
        <f t="shared" si="35"/>
        <v>2.5056947608200455E-2</v>
      </c>
      <c r="AH72" s="3">
        <v>10706</v>
      </c>
      <c r="AI72" s="9">
        <f t="shared" si="34"/>
        <v>-5.0381408550647509E-2</v>
      </c>
      <c r="AJ72" s="426">
        <f>21383-AJ66</f>
        <v>10299</v>
      </c>
      <c r="AK72" s="438">
        <f>(SUM(AJ72:AJ77)/AJ60-1)</f>
        <v>-0.44004033239456208</v>
      </c>
      <c r="AL72" s="5">
        <v>763</v>
      </c>
      <c r="AM72" s="37"/>
      <c r="AN72" s="38">
        <v>1186</v>
      </c>
      <c r="AO72" s="9">
        <f t="shared" si="36"/>
        <v>0.20406091370558377</v>
      </c>
      <c r="AP72" s="426">
        <f>AP171*0.287</f>
        <v>20229.195</v>
      </c>
      <c r="AQ72" s="427">
        <f>(AP72/AP60-1)</f>
        <v>-2.5029496079720381E-2</v>
      </c>
      <c r="AR72" s="38">
        <v>0</v>
      </c>
      <c r="AS72" s="99" t="str">
        <f t="shared" si="13"/>
        <v>-</v>
      </c>
      <c r="AT72" s="412"/>
      <c r="AU72" s="418"/>
      <c r="AV72" s="412"/>
      <c r="AW72" s="415"/>
      <c r="AX72" s="38">
        <v>2340</v>
      </c>
      <c r="AY72" s="9"/>
      <c r="AZ72" s="5">
        <v>1310</v>
      </c>
      <c r="BA72" s="9">
        <f t="shared" si="23"/>
        <v>2.8257456828885363E-2</v>
      </c>
      <c r="BB72" s="38"/>
      <c r="BC72" s="238"/>
    </row>
    <row r="73" spans="1:55" s="157" customFormat="1" ht="13.5" customHeight="1">
      <c r="A73" s="461"/>
      <c r="B73" s="15" t="s">
        <v>26</v>
      </c>
      <c r="C73" s="5">
        <v>1041527</v>
      </c>
      <c r="D73" s="9">
        <v>-0.105</v>
      </c>
      <c r="E73" s="178"/>
      <c r="F73" s="5">
        <v>190987</v>
      </c>
      <c r="G73" s="9">
        <f t="shared" si="17"/>
        <v>-0.23036904502849037</v>
      </c>
      <c r="H73" s="5">
        <v>351500</v>
      </c>
      <c r="I73" s="9">
        <f t="shared" si="37"/>
        <v>2.8905964141968443E-2</v>
      </c>
      <c r="J73" s="5">
        <v>13886</v>
      </c>
      <c r="K73" s="9">
        <f t="shared" si="27"/>
        <v>-0.38036590807675141</v>
      </c>
      <c r="L73" s="53">
        <v>66398</v>
      </c>
      <c r="M73" s="37">
        <v>-0.245</v>
      </c>
      <c r="N73" s="5">
        <v>64965</v>
      </c>
      <c r="O73" s="9">
        <f t="shared" si="18"/>
        <v>-0.23884007029876977</v>
      </c>
      <c r="P73" s="5">
        <v>36386</v>
      </c>
      <c r="Q73" s="9">
        <f t="shared" si="31"/>
        <v>-0.26915197043345518</v>
      </c>
      <c r="R73" s="53">
        <v>25727</v>
      </c>
      <c r="S73" s="37">
        <f t="shared" si="28"/>
        <v>-0.15413447312181494</v>
      </c>
      <c r="T73" s="5">
        <v>32332</v>
      </c>
      <c r="U73" s="9">
        <f t="shared" si="20"/>
        <v>-0.23633615192026081</v>
      </c>
      <c r="V73" s="5">
        <v>380</v>
      </c>
      <c r="W73" s="9">
        <f t="shared" si="32"/>
        <v>0.12094395280235988</v>
      </c>
      <c r="X73" s="11">
        <v>47185</v>
      </c>
      <c r="Y73" s="9">
        <f t="shared" si="19"/>
        <v>-0.10639546995435867</v>
      </c>
      <c r="Z73" s="58">
        <v>18170</v>
      </c>
      <c r="AA73" s="60">
        <f t="shared" si="33"/>
        <v>-0.1671250458379171</v>
      </c>
      <c r="AB73" s="5">
        <v>25550</v>
      </c>
      <c r="AC73" s="9">
        <v>-0.21</v>
      </c>
      <c r="AD73" s="5">
        <v>23305</v>
      </c>
      <c r="AE73" s="9">
        <f t="shared" si="29"/>
        <v>-0.15171259054344266</v>
      </c>
      <c r="AF73" s="38">
        <v>1700</v>
      </c>
      <c r="AG73" s="36">
        <f t="shared" si="35"/>
        <v>-0.13880445795339413</v>
      </c>
      <c r="AH73" s="3">
        <v>10350</v>
      </c>
      <c r="AI73" s="9">
        <f t="shared" si="34"/>
        <v>-1.6533637400228049E-2</v>
      </c>
      <c r="AJ73" s="426"/>
      <c r="AK73" s="438"/>
      <c r="AL73" s="5">
        <v>878</v>
      </c>
      <c r="AM73" s="37"/>
      <c r="AN73" s="38">
        <v>1236</v>
      </c>
      <c r="AO73" s="9">
        <f t="shared" si="36"/>
        <v>0.13083257090576406</v>
      </c>
      <c r="AP73" s="426"/>
      <c r="AQ73" s="427"/>
      <c r="AR73" s="38">
        <v>0</v>
      </c>
      <c r="AS73" s="99" t="str">
        <f t="shared" si="13"/>
        <v>-</v>
      </c>
      <c r="AT73" s="412"/>
      <c r="AU73" s="418"/>
      <c r="AV73" s="412"/>
      <c r="AW73" s="415"/>
      <c r="AX73" s="38">
        <v>1574</v>
      </c>
      <c r="AY73" s="9"/>
      <c r="AZ73" s="5">
        <v>1052</v>
      </c>
      <c r="BA73" s="9">
        <f t="shared" si="23"/>
        <v>0.20780711825487952</v>
      </c>
      <c r="BB73" s="38"/>
      <c r="BC73" s="238"/>
    </row>
    <row r="74" spans="1:55" s="157" customFormat="1" ht="13.5" customHeight="1">
      <c r="A74" s="461"/>
      <c r="B74" s="15" t="s">
        <v>27</v>
      </c>
      <c r="C74" s="5">
        <v>658487</v>
      </c>
      <c r="D74" s="9">
        <v>-0.19600000000000001</v>
      </c>
      <c r="E74" s="178"/>
      <c r="F74" s="5">
        <v>105470</v>
      </c>
      <c r="G74" s="9">
        <f t="shared" si="17"/>
        <v>-0.33884142098631548</v>
      </c>
      <c r="H74" s="5">
        <v>233600</v>
      </c>
      <c r="I74" s="9">
        <f t="shared" si="37"/>
        <v>-0.14473587862279047</v>
      </c>
      <c r="J74" s="5">
        <v>11630</v>
      </c>
      <c r="K74" s="9">
        <f t="shared" si="27"/>
        <v>-0.29292315175097272</v>
      </c>
      <c r="L74" s="53">
        <v>36080</v>
      </c>
      <c r="M74" s="37">
        <v>-0.34799999999999998</v>
      </c>
      <c r="N74" s="5">
        <v>28467</v>
      </c>
      <c r="O74" s="9">
        <f t="shared" si="18"/>
        <v>-0.25500510324252179</v>
      </c>
      <c r="P74" s="5">
        <v>25389</v>
      </c>
      <c r="Q74" s="9">
        <f t="shared" si="31"/>
        <v>-0.16530229805700758</v>
      </c>
      <c r="R74" s="53">
        <v>11891</v>
      </c>
      <c r="S74" s="37">
        <f t="shared" si="28"/>
        <v>-0.29110528198402286</v>
      </c>
      <c r="T74" s="5">
        <v>15714</v>
      </c>
      <c r="U74" s="9">
        <f t="shared" si="20"/>
        <v>-0.39360963185922671</v>
      </c>
      <c r="V74" s="5">
        <v>218</v>
      </c>
      <c r="W74" s="9">
        <f t="shared" si="32"/>
        <v>9.2592592592592587E-3</v>
      </c>
      <c r="X74" s="11">
        <v>25114</v>
      </c>
      <c r="Y74" s="9">
        <f t="shared" si="19"/>
        <v>-0.32060056810496418</v>
      </c>
      <c r="Z74" s="58">
        <v>15156</v>
      </c>
      <c r="AA74" s="60">
        <f t="shared" si="33"/>
        <v>3.1090550377576687E-2</v>
      </c>
      <c r="AB74" s="5">
        <v>14100</v>
      </c>
      <c r="AC74" s="9">
        <v>-0.39600000000000002</v>
      </c>
      <c r="AD74" s="5">
        <v>13743</v>
      </c>
      <c r="AE74" s="9">
        <f t="shared" si="29"/>
        <v>-0.26180372777568883</v>
      </c>
      <c r="AF74" s="38">
        <v>2300</v>
      </c>
      <c r="AG74" s="36">
        <f t="shared" si="35"/>
        <v>-7.3701167942005638E-2</v>
      </c>
      <c r="AH74" s="3">
        <v>7155</v>
      </c>
      <c r="AI74" s="9">
        <f t="shared" si="34"/>
        <v>-9.6932979931843993E-2</v>
      </c>
      <c r="AJ74" s="426"/>
      <c r="AK74" s="438"/>
      <c r="AL74" s="5">
        <v>1442</v>
      </c>
      <c r="AM74" s="37"/>
      <c r="AN74" s="38">
        <v>946</v>
      </c>
      <c r="AO74" s="9">
        <f t="shared" si="36"/>
        <v>0.33994334277620397</v>
      </c>
      <c r="AP74" s="426"/>
      <c r="AQ74" s="427"/>
      <c r="AR74" s="38">
        <v>0</v>
      </c>
      <c r="AS74" s="99" t="str">
        <f t="shared" si="13"/>
        <v>-</v>
      </c>
      <c r="AT74" s="412"/>
      <c r="AU74" s="418"/>
      <c r="AV74" s="412"/>
      <c r="AW74" s="415"/>
      <c r="AX74" s="38">
        <v>1096</v>
      </c>
      <c r="AY74" s="9"/>
      <c r="AZ74" s="5">
        <v>658</v>
      </c>
      <c r="BA74" s="9">
        <f t="shared" si="23"/>
        <v>0.25095057034220525</v>
      </c>
      <c r="BB74" s="38"/>
      <c r="BC74" s="238"/>
    </row>
    <row r="75" spans="1:55" s="157" customFormat="1" ht="13.5" customHeight="1">
      <c r="A75" s="461"/>
      <c r="B75" s="15" t="s">
        <v>28</v>
      </c>
      <c r="C75" s="5">
        <v>714880</v>
      </c>
      <c r="D75" s="9">
        <v>-0.23400000000000001</v>
      </c>
      <c r="E75" s="178"/>
      <c r="F75" s="5">
        <v>131195</v>
      </c>
      <c r="G75" s="9">
        <f t="shared" si="17"/>
        <v>-0.30512595072138304</v>
      </c>
      <c r="H75" s="5">
        <v>255700</v>
      </c>
      <c r="I75" s="9">
        <f t="shared" si="37"/>
        <v>-0.23598661407912036</v>
      </c>
      <c r="J75" s="5">
        <v>10817</v>
      </c>
      <c r="K75" s="9">
        <f t="shared" si="27"/>
        <v>-0.37804737810487576</v>
      </c>
      <c r="L75" s="53">
        <v>42211</v>
      </c>
      <c r="M75" s="37">
        <v>-0.36799999999999999</v>
      </c>
      <c r="N75" s="5">
        <v>38512</v>
      </c>
      <c r="O75" s="9">
        <f t="shared" si="18"/>
        <v>-0.35504831443739221</v>
      </c>
      <c r="P75" s="5">
        <v>15109</v>
      </c>
      <c r="Q75" s="9">
        <f t="shared" si="31"/>
        <v>-0.55428048852439671</v>
      </c>
      <c r="R75" s="53">
        <v>13724</v>
      </c>
      <c r="S75" s="37">
        <f t="shared" si="28"/>
        <v>-0.30997033536125496</v>
      </c>
      <c r="T75" s="5">
        <v>16069</v>
      </c>
      <c r="U75" s="9">
        <f t="shared" si="20"/>
        <v>-0.48047203362431301</v>
      </c>
      <c r="V75" s="5">
        <v>372</v>
      </c>
      <c r="W75" s="9">
        <f t="shared" si="32"/>
        <v>-0.10144927536231885</v>
      </c>
      <c r="X75" s="11">
        <v>26649</v>
      </c>
      <c r="Y75" s="9">
        <f t="shared" si="19"/>
        <v>-0.40789210567245093</v>
      </c>
      <c r="Z75" s="58">
        <v>10274</v>
      </c>
      <c r="AA75" s="60">
        <f t="shared" si="33"/>
        <v>-0.44335482472774557</v>
      </c>
      <c r="AB75" s="5">
        <v>20661</v>
      </c>
      <c r="AC75" s="9">
        <v>-0.31</v>
      </c>
      <c r="AD75" s="5">
        <v>14228</v>
      </c>
      <c r="AE75" s="9">
        <f t="shared" si="29"/>
        <v>-0.2611517889598588</v>
      </c>
      <c r="AF75" s="38">
        <v>1900</v>
      </c>
      <c r="AG75" s="36">
        <f t="shared" si="35"/>
        <v>-0.36666666666666664</v>
      </c>
      <c r="AH75" s="3">
        <v>7727</v>
      </c>
      <c r="AI75" s="9">
        <f t="shared" si="34"/>
        <v>-0.14048943270300335</v>
      </c>
      <c r="AJ75" s="426">
        <v>5806</v>
      </c>
      <c r="AK75" s="438"/>
      <c r="AL75" s="5">
        <v>2032</v>
      </c>
      <c r="AM75" s="37"/>
      <c r="AN75" s="38">
        <v>960</v>
      </c>
      <c r="AO75" s="9">
        <f t="shared" si="36"/>
        <v>0.17647058823529416</v>
      </c>
      <c r="AP75" s="426">
        <f>AP171*0.277</f>
        <v>19524.345000000001</v>
      </c>
      <c r="AQ75" s="427">
        <f>(AP75/AP63-1)</f>
        <v>0.34428486603244135</v>
      </c>
      <c r="AR75" s="38">
        <v>0</v>
      </c>
      <c r="AS75" s="99" t="str">
        <f t="shared" si="13"/>
        <v>-</v>
      </c>
      <c r="AT75" s="412"/>
      <c r="AU75" s="418"/>
      <c r="AV75" s="412"/>
      <c r="AW75" s="415"/>
      <c r="AX75" s="38">
        <v>1315</v>
      </c>
      <c r="AY75" s="9"/>
      <c r="AZ75" s="5">
        <v>1120</v>
      </c>
      <c r="BA75" s="9">
        <f t="shared" si="23"/>
        <v>4.2830540037243958E-2</v>
      </c>
      <c r="BB75" s="38"/>
      <c r="BC75" s="238"/>
    </row>
    <row r="76" spans="1:55" s="157" customFormat="1" ht="13.5" customHeight="1">
      <c r="A76" s="461"/>
      <c r="B76" s="15" t="s">
        <v>29</v>
      </c>
      <c r="C76" s="5">
        <v>721940</v>
      </c>
      <c r="D76" s="9">
        <v>2.1000000000000001E-2</v>
      </c>
      <c r="E76" s="178"/>
      <c r="F76" s="5">
        <v>130371</v>
      </c>
      <c r="G76" s="9">
        <f t="shared" si="17"/>
        <v>0.10937047941591926</v>
      </c>
      <c r="H76" s="5">
        <v>236700</v>
      </c>
      <c r="I76" s="9">
        <f t="shared" si="37"/>
        <v>-6.7934155480678937E-3</v>
      </c>
      <c r="J76" s="5">
        <v>12617</v>
      </c>
      <c r="K76" s="9">
        <f t="shared" si="27"/>
        <v>-0.11266615092481891</v>
      </c>
      <c r="L76" s="53">
        <v>48428</v>
      </c>
      <c r="M76" s="37">
        <v>-0.13700000000000001</v>
      </c>
      <c r="N76" s="5">
        <v>52109</v>
      </c>
      <c r="O76" s="9">
        <f t="shared" si="18"/>
        <v>-5.0041929485543445E-2</v>
      </c>
      <c r="P76" s="5">
        <v>29917</v>
      </c>
      <c r="Q76" s="9">
        <f t="shared" si="31"/>
        <v>0.22811986863710998</v>
      </c>
      <c r="R76" s="53">
        <v>15144</v>
      </c>
      <c r="S76" s="37">
        <f t="shared" si="28"/>
        <v>7.7189246739419737E-3</v>
      </c>
      <c r="T76" s="5">
        <v>19619</v>
      </c>
      <c r="U76" s="9">
        <f t="shared" si="20"/>
        <v>-0.19732427788233364</v>
      </c>
      <c r="V76" s="5">
        <v>292</v>
      </c>
      <c r="W76" s="9">
        <f t="shared" si="32"/>
        <v>-2.9900332225913623E-2</v>
      </c>
      <c r="X76" s="11">
        <v>40780</v>
      </c>
      <c r="Y76" s="9">
        <f t="shared" si="19"/>
        <v>-8.237888436353813E-2</v>
      </c>
      <c r="Z76" s="58">
        <v>12086</v>
      </c>
      <c r="AA76" s="60">
        <f t="shared" si="33"/>
        <v>-0.26986044825711353</v>
      </c>
      <c r="AB76" s="5">
        <v>20200</v>
      </c>
      <c r="AC76" s="9">
        <v>-0.248</v>
      </c>
      <c r="AD76" s="5">
        <v>20816</v>
      </c>
      <c r="AE76" s="9">
        <f t="shared" si="29"/>
        <v>0.20163943889626501</v>
      </c>
      <c r="AF76" s="38">
        <v>1600</v>
      </c>
      <c r="AG76" s="36">
        <f t="shared" si="35"/>
        <v>-0.40740740740740738</v>
      </c>
      <c r="AH76" s="3">
        <v>6168</v>
      </c>
      <c r="AI76" s="9">
        <f t="shared" si="34"/>
        <v>-0.12299161097682354</v>
      </c>
      <c r="AJ76" s="426"/>
      <c r="AK76" s="438"/>
      <c r="AL76" s="5">
        <v>2673</v>
      </c>
      <c r="AM76" s="37"/>
      <c r="AN76" s="38">
        <v>1462</v>
      </c>
      <c r="AO76" s="9">
        <f t="shared" si="36"/>
        <v>0.71395076201641272</v>
      </c>
      <c r="AP76" s="426"/>
      <c r="AQ76" s="427"/>
      <c r="AR76" s="38">
        <v>0</v>
      </c>
      <c r="AS76" s="99" t="str">
        <f t="shared" si="13"/>
        <v>-</v>
      </c>
      <c r="AT76" s="412"/>
      <c r="AU76" s="418"/>
      <c r="AV76" s="412"/>
      <c r="AW76" s="415"/>
      <c r="AX76" s="38">
        <v>1513</v>
      </c>
      <c r="AY76" s="9"/>
      <c r="AZ76" s="5">
        <v>1109</v>
      </c>
      <c r="BA76" s="9">
        <f t="shared" si="23"/>
        <v>0.34099153567110041</v>
      </c>
      <c r="BB76" s="38"/>
      <c r="BC76" s="238"/>
    </row>
    <row r="77" spans="1:55" s="157" customFormat="1" ht="13.5" customHeight="1">
      <c r="A77" s="462"/>
      <c r="B77" s="41" t="s">
        <v>30</v>
      </c>
      <c r="C77" s="5">
        <v>888782</v>
      </c>
      <c r="D77" s="9">
        <v>0.33100000000000002</v>
      </c>
      <c r="E77" s="178"/>
      <c r="F77" s="5">
        <v>178027</v>
      </c>
      <c r="G77" s="9">
        <f t="shared" si="17"/>
        <v>0.64836762282179961</v>
      </c>
      <c r="H77" s="5">
        <v>270300</v>
      </c>
      <c r="I77" s="9">
        <f t="shared" ref="I77:I87" si="38">(H77/H65-1)</f>
        <v>0.24005046450280987</v>
      </c>
      <c r="J77" s="5">
        <v>16128</v>
      </c>
      <c r="K77" s="9">
        <f t="shared" si="27"/>
        <v>0.32142564522736583</v>
      </c>
      <c r="L77" s="53">
        <v>67033</v>
      </c>
      <c r="M77" s="37">
        <v>0.13900000000000001</v>
      </c>
      <c r="N77" s="5">
        <v>80281</v>
      </c>
      <c r="O77" s="9">
        <f t="shared" si="18"/>
        <v>1.4186123580272949</v>
      </c>
      <c r="P77" s="5">
        <v>34731</v>
      </c>
      <c r="Q77" s="19">
        <f t="shared" si="31"/>
        <v>6.1233843615363437E-2</v>
      </c>
      <c r="R77" s="53">
        <v>22664</v>
      </c>
      <c r="S77" s="37">
        <f t="shared" si="28"/>
        <v>0.38533007334963321</v>
      </c>
      <c r="T77" s="5">
        <v>20029</v>
      </c>
      <c r="U77" s="19">
        <f t="shared" si="20"/>
        <v>-0.10199964131994266</v>
      </c>
      <c r="V77" s="42">
        <v>233</v>
      </c>
      <c r="W77" s="9">
        <f t="shared" si="32"/>
        <v>-9.6899224806201556E-2</v>
      </c>
      <c r="X77" s="48">
        <v>56625</v>
      </c>
      <c r="Y77" s="19">
        <f t="shared" si="19"/>
        <v>9.3273352125728959E-2</v>
      </c>
      <c r="Z77" s="53">
        <v>18310</v>
      </c>
      <c r="AA77" s="45">
        <f t="shared" si="33"/>
        <v>0.21386900026518174</v>
      </c>
      <c r="AB77" s="5">
        <v>21654</v>
      </c>
      <c r="AC77" s="19">
        <v>-0.108</v>
      </c>
      <c r="AD77" s="5">
        <v>20493</v>
      </c>
      <c r="AE77" s="9">
        <f t="shared" si="29"/>
        <v>9.7878495660559395E-2</v>
      </c>
      <c r="AF77" s="46">
        <v>1300</v>
      </c>
      <c r="AG77" s="43">
        <f t="shared" si="35"/>
        <v>8.3333333333333329E-2</v>
      </c>
      <c r="AH77" s="3">
        <v>7974</v>
      </c>
      <c r="AI77" s="19">
        <f t="shared" si="34"/>
        <v>0.63034144346759358</v>
      </c>
      <c r="AJ77" s="433"/>
      <c r="AK77" s="439"/>
      <c r="AL77" s="42">
        <v>1403</v>
      </c>
      <c r="AM77" s="37"/>
      <c r="AN77" s="46">
        <v>1126</v>
      </c>
      <c r="AO77" s="19">
        <f t="shared" si="36"/>
        <v>0.29128440366972486</v>
      </c>
      <c r="AP77" s="433"/>
      <c r="AQ77" s="427"/>
      <c r="AR77" s="46">
        <v>0</v>
      </c>
      <c r="AS77" s="99" t="str">
        <f t="shared" si="13"/>
        <v>-</v>
      </c>
      <c r="AT77" s="413"/>
      <c r="AU77" s="419"/>
      <c r="AV77" s="413"/>
      <c r="AW77" s="416"/>
      <c r="AX77" s="46">
        <v>2038</v>
      </c>
      <c r="AY77" s="9"/>
      <c r="AZ77" s="5">
        <v>1188</v>
      </c>
      <c r="BA77" s="9">
        <f t="shared" si="23"/>
        <v>0.25052631578947371</v>
      </c>
      <c r="BB77" s="46"/>
      <c r="BC77" s="238"/>
    </row>
    <row r="78" spans="1:55" s="157" customFormat="1" ht="13.5" customHeight="1">
      <c r="A78" s="457" t="s">
        <v>149</v>
      </c>
      <c r="B78" s="62" t="s">
        <v>132</v>
      </c>
      <c r="C78" s="23">
        <v>1118261</v>
      </c>
      <c r="D78" s="24">
        <v>0.376</v>
      </c>
      <c r="E78" s="178"/>
      <c r="F78" s="23">
        <v>232053</v>
      </c>
      <c r="G78" s="24">
        <f t="shared" si="17"/>
        <v>0.78837972810505874</v>
      </c>
      <c r="H78" s="25">
        <v>315200</v>
      </c>
      <c r="I78" s="26">
        <f t="shared" si="38"/>
        <v>0.32436974789915962</v>
      </c>
      <c r="J78" s="23">
        <v>18078</v>
      </c>
      <c r="K78" s="24">
        <f t="shared" si="27"/>
        <v>0.12586410911129109</v>
      </c>
      <c r="L78" s="27">
        <v>82126</v>
      </c>
      <c r="M78" s="28">
        <v>0.40500000000000003</v>
      </c>
      <c r="N78" s="23">
        <v>92186</v>
      </c>
      <c r="O78" s="24">
        <f t="shared" si="18"/>
        <v>0.63207279937681471</v>
      </c>
      <c r="P78" s="23">
        <v>43041</v>
      </c>
      <c r="Q78" s="9">
        <f t="shared" si="31"/>
        <v>0.39138165125751589</v>
      </c>
      <c r="R78" s="27">
        <v>30302</v>
      </c>
      <c r="S78" s="28">
        <f t="shared" si="28"/>
        <v>0.63892043918005292</v>
      </c>
      <c r="T78" s="23">
        <v>39432</v>
      </c>
      <c r="U78" s="9">
        <f t="shared" si="20"/>
        <v>0.54538328891675802</v>
      </c>
      <c r="V78" s="3">
        <v>591</v>
      </c>
      <c r="W78" s="28">
        <f t="shared" ref="W78:W89" si="39">(V78-V66)/V66</f>
        <v>0.57180851063829785</v>
      </c>
      <c r="X78" s="33">
        <v>71906</v>
      </c>
      <c r="Y78" s="24">
        <f t="shared" si="19"/>
        <v>0.31327963764542588</v>
      </c>
      <c r="Z78" s="447">
        <v>84062</v>
      </c>
      <c r="AA78" s="448">
        <f>Z78/SUM(Z66:Z68)-1</f>
        <v>0.31472184425780814</v>
      </c>
      <c r="AB78" s="23">
        <v>27663</v>
      </c>
      <c r="AC78" s="9">
        <v>0.69499999999999995</v>
      </c>
      <c r="AD78" s="23">
        <v>28250</v>
      </c>
      <c r="AE78" s="24">
        <f t="shared" si="29"/>
        <v>0.19248628113127908</v>
      </c>
      <c r="AF78" s="29">
        <v>5800</v>
      </c>
      <c r="AG78" s="24">
        <f>(AF78/AF66-1)</f>
        <v>2.8666666666666667</v>
      </c>
      <c r="AH78" s="23">
        <v>10095</v>
      </c>
      <c r="AI78" s="9">
        <f t="shared" si="34"/>
        <v>0.76178010471204194</v>
      </c>
      <c r="AJ78" s="440">
        <v>1599</v>
      </c>
      <c r="AK78" s="437">
        <f>(SUM(AJ78:AJ83)/AJ66-1)</f>
        <v>0.36412847347527966</v>
      </c>
      <c r="AL78" s="3">
        <v>1128</v>
      </c>
      <c r="AM78" s="28">
        <f t="shared" ref="AM78:AM149" si="40">(AL78/AL66-1)</f>
        <v>1.1567877629063097</v>
      </c>
      <c r="AN78" s="29">
        <v>1951</v>
      </c>
      <c r="AO78" s="9">
        <f>(AN78/AN66-1)</f>
        <v>0.63949579831932768</v>
      </c>
      <c r="AP78" s="440">
        <f>AP172*0.309</f>
        <v>29536.382999999998</v>
      </c>
      <c r="AQ78" s="452">
        <f>(AP78/AP66-1)</f>
        <v>0.72446479725569835</v>
      </c>
      <c r="AR78" s="29">
        <v>0</v>
      </c>
      <c r="AS78" s="138" t="str">
        <f t="shared" si="13"/>
        <v>-</v>
      </c>
      <c r="AT78" s="411">
        <v>182</v>
      </c>
      <c r="AU78" s="417">
        <f>AT78/AT66-1</f>
        <v>2.7142857142857144</v>
      </c>
      <c r="AV78" s="411">
        <v>13479</v>
      </c>
      <c r="AW78" s="414">
        <f>AV78/AV66-1</f>
        <v>0.47812260116240823</v>
      </c>
      <c r="AX78" s="29">
        <v>3228</v>
      </c>
      <c r="AY78" s="24">
        <f>(AX78/AX66-1)</f>
        <v>0.45274527452745272</v>
      </c>
      <c r="AZ78" s="23">
        <v>2261</v>
      </c>
      <c r="BA78" s="24">
        <f t="shared" si="23"/>
        <v>0.8716887417218544</v>
      </c>
      <c r="BB78" s="29"/>
      <c r="BC78" s="237"/>
    </row>
    <row r="79" spans="1:55" s="157" customFormat="1" ht="13.5" customHeight="1">
      <c r="A79" s="461"/>
      <c r="B79" s="62" t="s">
        <v>133</v>
      </c>
      <c r="C79" s="3">
        <v>908103</v>
      </c>
      <c r="D79" s="9">
        <v>0.20499999999999999</v>
      </c>
      <c r="E79" s="178"/>
      <c r="F79" s="3">
        <v>197784</v>
      </c>
      <c r="G79" s="9">
        <f t="shared" si="17"/>
        <v>0.84967595320259237</v>
      </c>
      <c r="H79" s="5">
        <v>283400</v>
      </c>
      <c r="I79" s="36">
        <f t="shared" si="38"/>
        <v>1.9791291831594116E-2</v>
      </c>
      <c r="J79" s="3">
        <v>18063</v>
      </c>
      <c r="K79" s="9">
        <f t="shared" si="27"/>
        <v>6.9006332485056499E-2</v>
      </c>
      <c r="L79" s="7">
        <v>72873</v>
      </c>
      <c r="M79" s="37">
        <v>0.34399999999999997</v>
      </c>
      <c r="N79" s="3">
        <v>74089</v>
      </c>
      <c r="O79" s="9">
        <f t="shared" si="18"/>
        <v>0.2822159149908276</v>
      </c>
      <c r="P79" s="3">
        <v>44284</v>
      </c>
      <c r="Q79" s="9">
        <f t="shared" si="31"/>
        <v>0.12765144763311342</v>
      </c>
      <c r="R79" s="7">
        <v>27608</v>
      </c>
      <c r="S79" s="37">
        <f t="shared" si="28"/>
        <v>0.74193955454602811</v>
      </c>
      <c r="T79" s="3">
        <v>29588</v>
      </c>
      <c r="U79" s="9">
        <f t="shared" si="20"/>
        <v>8.0366597290685293E-2</v>
      </c>
      <c r="V79" s="3">
        <v>441</v>
      </c>
      <c r="W79" s="9">
        <f t="shared" si="39"/>
        <v>0.52068965517241383</v>
      </c>
      <c r="X79" s="13">
        <v>50756</v>
      </c>
      <c r="Y79" s="9">
        <f t="shared" si="19"/>
        <v>0.20586348625596917</v>
      </c>
      <c r="Z79" s="445"/>
      <c r="AA79" s="449"/>
      <c r="AB79" s="3">
        <v>20562</v>
      </c>
      <c r="AC79" s="9">
        <v>-0.14799999999999999</v>
      </c>
      <c r="AD79" s="3">
        <v>23966</v>
      </c>
      <c r="AE79" s="9">
        <v>0.217</v>
      </c>
      <c r="AF79" s="38">
        <v>4100</v>
      </c>
      <c r="AG79" s="9">
        <f t="shared" ref="AG79:AG118" si="41">(AF79/AF67-1)</f>
        <v>1.2777777777777777</v>
      </c>
      <c r="AH79" s="3">
        <v>7650</v>
      </c>
      <c r="AI79" s="9">
        <f t="shared" si="34"/>
        <v>0.58746627931106044</v>
      </c>
      <c r="AJ79" s="426"/>
      <c r="AK79" s="438"/>
      <c r="AL79" s="3">
        <v>772</v>
      </c>
      <c r="AM79" s="37">
        <f t="shared" si="40"/>
        <v>5.2083333333332593E-3</v>
      </c>
      <c r="AN79" s="38">
        <v>1063</v>
      </c>
      <c r="AO79" s="9">
        <f t="shared" ref="AO79:AO89" si="42">(AN79/AN67-1)</f>
        <v>-2.7447392497712664E-2</v>
      </c>
      <c r="AP79" s="426"/>
      <c r="AQ79" s="427"/>
      <c r="AR79" s="38">
        <v>0</v>
      </c>
      <c r="AS79" s="99" t="str">
        <f t="shared" si="13"/>
        <v>-</v>
      </c>
      <c r="AT79" s="412"/>
      <c r="AU79" s="418"/>
      <c r="AV79" s="412"/>
      <c r="AW79" s="415"/>
      <c r="AX79" s="38">
        <v>1871</v>
      </c>
      <c r="AY79" s="9">
        <f t="shared" ref="AY79:AY89" si="43">(AX79/AX67-1)</f>
        <v>0.30565247732030709</v>
      </c>
      <c r="AZ79" s="3">
        <v>1272</v>
      </c>
      <c r="BA79" s="9">
        <f t="shared" si="23"/>
        <v>0.21606118546845132</v>
      </c>
      <c r="BB79" s="38"/>
      <c r="BC79" s="238"/>
    </row>
    <row r="80" spans="1:55" s="157" customFormat="1" ht="13.5" customHeight="1">
      <c r="A80" s="461"/>
      <c r="B80" s="62" t="s">
        <v>138</v>
      </c>
      <c r="C80" s="3">
        <v>950185</v>
      </c>
      <c r="D80" s="9">
        <v>0.35299999999999998</v>
      </c>
      <c r="E80" s="178"/>
      <c r="F80" s="3">
        <v>169295</v>
      </c>
      <c r="G80" s="9">
        <f t="shared" si="17"/>
        <v>0.56248269497000458</v>
      </c>
      <c r="H80" s="5">
        <v>334500</v>
      </c>
      <c r="I80" s="36">
        <f t="shared" si="38"/>
        <v>0.3782447466007417</v>
      </c>
      <c r="J80" s="3">
        <v>18603</v>
      </c>
      <c r="K80" s="9">
        <f t="shared" si="27"/>
        <v>0.28669248858763319</v>
      </c>
      <c r="L80" s="7">
        <v>70336</v>
      </c>
      <c r="M80" s="37">
        <f t="shared" ref="M80:M87" si="44">L80/L68-1</f>
        <v>0.5911682200705819</v>
      </c>
      <c r="N80" s="3">
        <v>75386</v>
      </c>
      <c r="O80" s="9">
        <f t="shared" si="18"/>
        <v>0.51174123167625885</v>
      </c>
      <c r="P80" s="3">
        <v>45722</v>
      </c>
      <c r="Q80" s="9">
        <f t="shared" si="31"/>
        <v>0.40372098735109918</v>
      </c>
      <c r="R80" s="7">
        <v>25243</v>
      </c>
      <c r="S80" s="37">
        <f t="shared" si="28"/>
        <v>0.87234831627354992</v>
      </c>
      <c r="T80" s="3">
        <v>30108</v>
      </c>
      <c r="U80" s="9">
        <f t="shared" si="20"/>
        <v>0.45035888048557249</v>
      </c>
      <c r="V80" s="3">
        <v>360</v>
      </c>
      <c r="W80" s="9">
        <f t="shared" si="39"/>
        <v>-0.16083916083916083</v>
      </c>
      <c r="X80" s="13">
        <v>52060</v>
      </c>
      <c r="Y80" s="9">
        <f t="shared" si="19"/>
        <v>0.36583062231084051</v>
      </c>
      <c r="Z80" s="445"/>
      <c r="AA80" s="449"/>
      <c r="AB80" s="3">
        <v>22649</v>
      </c>
      <c r="AC80" s="9">
        <v>0.184</v>
      </c>
      <c r="AD80" s="63">
        <v>18975</v>
      </c>
      <c r="AE80" s="9">
        <v>0.152</v>
      </c>
      <c r="AF80" s="38">
        <v>4000</v>
      </c>
      <c r="AG80" s="9">
        <f t="shared" si="41"/>
        <v>0.73913043478260865</v>
      </c>
      <c r="AH80" s="3">
        <v>9768</v>
      </c>
      <c r="AI80" s="9">
        <f t="shared" si="34"/>
        <v>0.61108362196932209</v>
      </c>
      <c r="AJ80" s="426"/>
      <c r="AK80" s="438"/>
      <c r="AL80" s="3">
        <v>1442</v>
      </c>
      <c r="AM80" s="37">
        <f t="shared" si="40"/>
        <v>0.47443762781186094</v>
      </c>
      <c r="AN80" s="38">
        <v>1560</v>
      </c>
      <c r="AO80" s="9">
        <f t="shared" si="42"/>
        <v>0.71617161716171607</v>
      </c>
      <c r="AP80" s="426"/>
      <c r="AQ80" s="427"/>
      <c r="AR80" s="38">
        <v>50</v>
      </c>
      <c r="AS80" s="99" t="str">
        <f t="shared" si="13"/>
        <v>-</v>
      </c>
      <c r="AT80" s="412"/>
      <c r="AU80" s="418"/>
      <c r="AV80" s="412"/>
      <c r="AW80" s="415"/>
      <c r="AX80" s="38">
        <v>2020</v>
      </c>
      <c r="AY80" s="9">
        <f t="shared" si="43"/>
        <v>0.44906743185078901</v>
      </c>
      <c r="AZ80" s="3">
        <v>1325</v>
      </c>
      <c r="BA80" s="9">
        <f t="shared" si="23"/>
        <v>0.68147208121827418</v>
      </c>
      <c r="BB80" s="38"/>
      <c r="BC80" s="238"/>
    </row>
    <row r="81" spans="1:55" s="157" customFormat="1" ht="13.5" customHeight="1">
      <c r="A81" s="461"/>
      <c r="B81" s="62" t="s">
        <v>139</v>
      </c>
      <c r="C81" s="3">
        <v>935904</v>
      </c>
      <c r="D81" s="9">
        <v>0.27400000000000002</v>
      </c>
      <c r="E81" s="178"/>
      <c r="F81" s="5">
        <v>189582</v>
      </c>
      <c r="G81" s="9">
        <f t="shared" si="17"/>
        <v>0.67308252362923937</v>
      </c>
      <c r="H81" s="3">
        <v>336500</v>
      </c>
      <c r="I81" s="9">
        <f t="shared" si="38"/>
        <v>0.27317442300416195</v>
      </c>
      <c r="J81" s="3">
        <v>15789</v>
      </c>
      <c r="K81" s="9">
        <f t="shared" si="27"/>
        <v>0.18767865202346923</v>
      </c>
      <c r="L81" s="7">
        <v>65361</v>
      </c>
      <c r="M81" s="37">
        <f t="shared" si="44"/>
        <v>0.29200023720571666</v>
      </c>
      <c r="N81" s="3">
        <v>51901</v>
      </c>
      <c r="O81" s="9">
        <f t="shared" si="18"/>
        <v>0.15095134607708344</v>
      </c>
      <c r="P81" s="3">
        <v>43152</v>
      </c>
      <c r="Q81" s="9">
        <f t="shared" si="31"/>
        <v>0.3793191625379575</v>
      </c>
      <c r="R81" s="7">
        <v>25268</v>
      </c>
      <c r="S81" s="37">
        <f t="shared" si="28"/>
        <v>0.55218379507340742</v>
      </c>
      <c r="T81" s="3">
        <v>24772</v>
      </c>
      <c r="U81" s="9">
        <f t="shared" si="20"/>
        <v>0.16175022276415141</v>
      </c>
      <c r="V81" s="5">
        <v>246</v>
      </c>
      <c r="W81" s="9">
        <f t="shared" si="39"/>
        <v>0.83582089552238803</v>
      </c>
      <c r="X81" s="13">
        <v>48128</v>
      </c>
      <c r="Y81" s="9">
        <f t="shared" si="19"/>
        <v>0.23143054524985285</v>
      </c>
      <c r="Z81" s="445">
        <v>41393</v>
      </c>
      <c r="AA81" s="454">
        <f>Z81/SUM(Z69:Z70)-1</f>
        <v>0.37916902675507269</v>
      </c>
      <c r="AB81" s="3">
        <v>20049</v>
      </c>
      <c r="AC81" s="9">
        <v>-1.7999999999999999E-2</v>
      </c>
      <c r="AD81" s="3">
        <v>20040</v>
      </c>
      <c r="AE81" s="9">
        <v>0.106</v>
      </c>
      <c r="AF81" s="38">
        <v>4300</v>
      </c>
      <c r="AG81" s="9">
        <f t="shared" si="41"/>
        <v>1.6875</v>
      </c>
      <c r="AH81" s="3">
        <v>12184</v>
      </c>
      <c r="AI81" s="9">
        <f t="shared" si="34"/>
        <v>0.57864731795802016</v>
      </c>
      <c r="AJ81" s="426">
        <f>15120-AJ78</f>
        <v>13521</v>
      </c>
      <c r="AK81" s="438"/>
      <c r="AL81" s="5">
        <v>2194</v>
      </c>
      <c r="AM81" s="37">
        <f t="shared" si="40"/>
        <v>0.735759493670886</v>
      </c>
      <c r="AN81" s="38">
        <v>1175</v>
      </c>
      <c r="AO81" s="9">
        <f t="shared" si="42"/>
        <v>0.58998646820027068</v>
      </c>
      <c r="AP81" s="426">
        <f>AP172*0.224</f>
        <v>21411.488000000001</v>
      </c>
      <c r="AQ81" s="438">
        <f>(AP81/AP69-1)</f>
        <v>0.57395690333554983</v>
      </c>
      <c r="AR81" s="38">
        <v>0</v>
      </c>
      <c r="AS81" s="99">
        <f t="shared" si="13"/>
        <v>-1</v>
      </c>
      <c r="AT81" s="412"/>
      <c r="AU81" s="418"/>
      <c r="AV81" s="412"/>
      <c r="AW81" s="415"/>
      <c r="AX81" s="38">
        <v>1962</v>
      </c>
      <c r="AY81" s="9">
        <f t="shared" si="43"/>
        <v>1.0143737166324436</v>
      </c>
      <c r="AZ81" s="3">
        <v>1263</v>
      </c>
      <c r="BA81" s="9">
        <f t="shared" si="23"/>
        <v>0.20285714285714285</v>
      </c>
      <c r="BB81" s="38"/>
      <c r="BC81" s="238"/>
    </row>
    <row r="82" spans="1:55" s="157" customFormat="1" ht="13.5" customHeight="1">
      <c r="A82" s="461"/>
      <c r="B82" s="62" t="s">
        <v>140</v>
      </c>
      <c r="C82" s="3">
        <v>1023815</v>
      </c>
      <c r="D82" s="9">
        <v>0.38800000000000001</v>
      </c>
      <c r="E82" s="178"/>
      <c r="F82" s="5">
        <v>201484</v>
      </c>
      <c r="G82" s="9">
        <f t="shared" ref="G82:G87" si="45">(F82-F70)/F70</f>
        <v>0.70898326505339404</v>
      </c>
      <c r="H82" s="3">
        <v>351200</v>
      </c>
      <c r="I82" s="9">
        <f t="shared" si="38"/>
        <v>0.30557620817843856</v>
      </c>
      <c r="J82" s="3">
        <v>19286</v>
      </c>
      <c r="K82" s="9">
        <f t="shared" si="27"/>
        <v>0.36171715032125973</v>
      </c>
      <c r="L82" s="7">
        <v>70554</v>
      </c>
      <c r="M82" s="37">
        <f t="shared" si="44"/>
        <v>0.44589720468890892</v>
      </c>
      <c r="N82" s="3">
        <v>44447</v>
      </c>
      <c r="O82" s="9">
        <f t="shared" ref="O82:O113" si="46">(N82-N70)/N70</f>
        <v>3.6471328964857871E-2</v>
      </c>
      <c r="P82" s="3">
        <v>40716</v>
      </c>
      <c r="Q82" s="9">
        <f t="shared" si="31"/>
        <v>8.1175814546323499E-2</v>
      </c>
      <c r="R82" s="7">
        <v>25341</v>
      </c>
      <c r="S82" s="37">
        <f t="shared" si="28"/>
        <v>0.45520845296887558</v>
      </c>
      <c r="T82" s="3">
        <v>32153</v>
      </c>
      <c r="U82" s="9">
        <f t="shared" si="20"/>
        <v>0.47126384185961379</v>
      </c>
      <c r="V82" s="5">
        <v>247</v>
      </c>
      <c r="W82" s="9">
        <f t="shared" si="39"/>
        <v>-1.984126984126984E-2</v>
      </c>
      <c r="X82" s="13">
        <v>56566</v>
      </c>
      <c r="Y82" s="9">
        <f t="shared" ref="Y82:Y89" si="47">X82/X70-1</f>
        <v>0.40042582689641515</v>
      </c>
      <c r="Z82" s="445"/>
      <c r="AA82" s="454"/>
      <c r="AB82" s="3">
        <v>24041</v>
      </c>
      <c r="AC82" s="9">
        <v>0.217</v>
      </c>
      <c r="AD82" s="3">
        <v>20047</v>
      </c>
      <c r="AE82" s="9">
        <v>0.14399999999999999</v>
      </c>
      <c r="AF82" s="38">
        <v>2800</v>
      </c>
      <c r="AG82" s="9">
        <f t="shared" si="41"/>
        <v>1.3333333333333335</v>
      </c>
      <c r="AH82" s="3">
        <v>12320</v>
      </c>
      <c r="AI82" s="9">
        <f t="shared" si="34"/>
        <v>0.74011299435028244</v>
      </c>
      <c r="AJ82" s="426"/>
      <c r="AK82" s="438"/>
      <c r="AL82" s="5">
        <v>4942</v>
      </c>
      <c r="AM82" s="37">
        <f t="shared" si="40"/>
        <v>1.4896725440806047</v>
      </c>
      <c r="AN82" s="38">
        <v>1367</v>
      </c>
      <c r="AO82" s="9">
        <f t="shared" si="42"/>
        <v>0.80820105820105814</v>
      </c>
      <c r="AP82" s="426"/>
      <c r="AQ82" s="438"/>
      <c r="AR82" s="38">
        <v>0</v>
      </c>
      <c r="AS82" s="99" t="str">
        <f t="shared" si="13"/>
        <v>-</v>
      </c>
      <c r="AT82" s="412"/>
      <c r="AU82" s="418"/>
      <c r="AV82" s="412"/>
      <c r="AW82" s="415"/>
      <c r="AX82" s="38">
        <v>1615</v>
      </c>
      <c r="AY82" s="9">
        <f t="shared" si="43"/>
        <v>0.55888030888030893</v>
      </c>
      <c r="AZ82" s="3">
        <v>423</v>
      </c>
      <c r="BA82" s="9">
        <f t="shared" si="23"/>
        <v>-0.1402439024390244</v>
      </c>
      <c r="BB82" s="38"/>
      <c r="BC82" s="238"/>
    </row>
    <row r="83" spans="1:55" s="157" customFormat="1" ht="13.5" customHeight="1">
      <c r="A83" s="461"/>
      <c r="B83" s="62" t="s">
        <v>141</v>
      </c>
      <c r="C83" s="3">
        <v>997597</v>
      </c>
      <c r="D83" s="9">
        <v>0.36399999999999999</v>
      </c>
      <c r="E83" s="178"/>
      <c r="F83" s="5">
        <v>179088</v>
      </c>
      <c r="G83" s="9">
        <f t="shared" si="45"/>
        <v>0.71808474917735543</v>
      </c>
      <c r="H83" s="3">
        <v>341000</v>
      </c>
      <c r="I83" s="9">
        <f t="shared" si="38"/>
        <v>0.38730675345809606</v>
      </c>
      <c r="J83" s="3">
        <v>17023</v>
      </c>
      <c r="K83" s="9">
        <f t="shared" si="27"/>
        <v>0.27733173257297206</v>
      </c>
      <c r="L83" s="7">
        <v>58162</v>
      </c>
      <c r="M83" s="37">
        <f t="shared" si="44"/>
        <v>0.35503110220627643</v>
      </c>
      <c r="N83" s="3">
        <v>44454</v>
      </c>
      <c r="O83" s="9">
        <f t="shared" si="46"/>
        <v>3.8329479363744659E-2</v>
      </c>
      <c r="P83" s="3">
        <v>35448</v>
      </c>
      <c r="Q83" s="9">
        <f t="shared" si="31"/>
        <v>0.4204199390928034</v>
      </c>
      <c r="R83" s="7">
        <v>21332</v>
      </c>
      <c r="S83" s="37">
        <f t="shared" si="28"/>
        <v>0.55662580268534745</v>
      </c>
      <c r="T83" s="3">
        <v>30024</v>
      </c>
      <c r="U83" s="9">
        <f t="shared" si="20"/>
        <v>0.43032728312133761</v>
      </c>
      <c r="V83" s="5">
        <v>303</v>
      </c>
      <c r="W83" s="9">
        <f t="shared" si="39"/>
        <v>0.31168831168831168</v>
      </c>
      <c r="X83" s="13">
        <v>54201</v>
      </c>
      <c r="Y83" s="9">
        <f t="shared" si="47"/>
        <v>0.42390647576513851</v>
      </c>
      <c r="Z83" s="445">
        <v>65326</v>
      </c>
      <c r="AA83" s="450">
        <f>Z83/SUM(Z71:Z73)-1</f>
        <v>0.36245755608196673</v>
      </c>
      <c r="AB83" s="3">
        <v>24066</v>
      </c>
      <c r="AC83" s="9">
        <v>0.17599999999999999</v>
      </c>
      <c r="AD83" s="3">
        <v>19788</v>
      </c>
      <c r="AE83" s="9">
        <v>0.16900000000000001</v>
      </c>
      <c r="AF83" s="38">
        <v>3000</v>
      </c>
      <c r="AG83" s="9">
        <f t="shared" si="41"/>
        <v>0.57894736842105265</v>
      </c>
      <c r="AH83" s="3">
        <v>10195</v>
      </c>
      <c r="AI83" s="9">
        <f t="shared" si="34"/>
        <v>0.33128754243927916</v>
      </c>
      <c r="AJ83" s="426"/>
      <c r="AK83" s="438"/>
      <c r="AL83" s="5">
        <v>1517</v>
      </c>
      <c r="AM83" s="37">
        <f t="shared" si="40"/>
        <v>7.0571630204657732E-2</v>
      </c>
      <c r="AN83" s="38">
        <v>1379</v>
      </c>
      <c r="AO83" s="9">
        <f t="shared" si="42"/>
        <v>0.52375690607734815</v>
      </c>
      <c r="AP83" s="426"/>
      <c r="AQ83" s="438"/>
      <c r="AR83" s="38">
        <v>0</v>
      </c>
      <c r="AS83" s="99">
        <f t="shared" si="13"/>
        <v>-1</v>
      </c>
      <c r="AT83" s="412"/>
      <c r="AU83" s="418"/>
      <c r="AV83" s="412"/>
      <c r="AW83" s="415"/>
      <c r="AX83" s="38">
        <v>1912</v>
      </c>
      <c r="AY83" s="9">
        <f t="shared" si="43"/>
        <v>1.0318809776833158</v>
      </c>
      <c r="AZ83" s="3">
        <v>499</v>
      </c>
      <c r="BA83" s="9">
        <f t="shared" si="23"/>
        <v>-0.35278858625162124</v>
      </c>
      <c r="BB83" s="38"/>
      <c r="BC83" s="238"/>
    </row>
    <row r="84" spans="1:55" s="157" customFormat="1" ht="13.5" customHeight="1">
      <c r="A84" s="461"/>
      <c r="B84" s="62" t="s">
        <v>142</v>
      </c>
      <c r="C84" s="3">
        <v>1223723</v>
      </c>
      <c r="D84" s="9">
        <v>0.22800000000000001</v>
      </c>
      <c r="E84" s="178"/>
      <c r="F84" s="5">
        <v>236092</v>
      </c>
      <c r="G84" s="9">
        <f t="shared" si="45"/>
        <v>0.38681860902255638</v>
      </c>
      <c r="H84" s="3">
        <v>387100</v>
      </c>
      <c r="I84" s="9">
        <f t="shared" si="38"/>
        <v>0.24070512820512824</v>
      </c>
      <c r="J84" s="3">
        <v>17172</v>
      </c>
      <c r="K84" s="9">
        <f t="shared" si="27"/>
        <v>0.19523908958028824</v>
      </c>
      <c r="L84" s="7">
        <v>76011</v>
      </c>
      <c r="M84" s="37">
        <f t="shared" si="44"/>
        <v>0.28053033238430558</v>
      </c>
      <c r="N84" s="3">
        <v>63314</v>
      </c>
      <c r="O84" s="9">
        <f t="shared" si="46"/>
        <v>7.3664575207732744E-2</v>
      </c>
      <c r="P84" s="3">
        <v>36827</v>
      </c>
      <c r="Q84" s="9">
        <f t="shared" si="31"/>
        <v>0.54049192671295909</v>
      </c>
      <c r="R84" s="7">
        <v>28590</v>
      </c>
      <c r="S84" s="37">
        <f t="shared" si="28"/>
        <v>0.40147058823529402</v>
      </c>
      <c r="T84" s="3">
        <v>32665</v>
      </c>
      <c r="U84" s="9">
        <f t="shared" si="20"/>
        <v>7.4895521405771825E-2</v>
      </c>
      <c r="V84" s="5">
        <v>443</v>
      </c>
      <c r="W84" s="9">
        <f t="shared" si="39"/>
        <v>-9.2213114754098366E-2</v>
      </c>
      <c r="X84" s="13">
        <v>72731</v>
      </c>
      <c r="Y84" s="9">
        <f t="shared" si="47"/>
        <v>0.48179614123016123</v>
      </c>
      <c r="Z84" s="445"/>
      <c r="AA84" s="450"/>
      <c r="AB84" s="3">
        <v>26961</v>
      </c>
      <c r="AC84" s="9">
        <v>0.106</v>
      </c>
      <c r="AD84" s="3">
        <v>30500</v>
      </c>
      <c r="AE84" s="9">
        <v>0.36799999999999999</v>
      </c>
      <c r="AF84" s="38">
        <v>3100</v>
      </c>
      <c r="AG84" s="9">
        <f t="shared" si="41"/>
        <v>0.72222222222222232</v>
      </c>
      <c r="AH84" s="3">
        <v>12250</v>
      </c>
      <c r="AI84" s="9">
        <f t="shared" si="34"/>
        <v>0.14421819540444611</v>
      </c>
      <c r="AJ84" s="426">
        <f>36778-AJ81-AJ78</f>
        <v>21658</v>
      </c>
      <c r="AK84" s="427">
        <f>(AJ84/AJ72-1)</f>
        <v>1.1029226138460047</v>
      </c>
      <c r="AL84" s="5">
        <v>969</v>
      </c>
      <c r="AM84" s="37">
        <f t="shared" si="40"/>
        <v>0.26998689384010488</v>
      </c>
      <c r="AN84" s="38">
        <v>1714</v>
      </c>
      <c r="AO84" s="9">
        <f t="shared" si="42"/>
        <v>0.44519392917369305</v>
      </c>
      <c r="AP84" s="426">
        <f>AP172*0.251</f>
        <v>23992.337</v>
      </c>
      <c r="AQ84" s="427">
        <f>(AP84/AP72-1)</f>
        <v>0.18602529660720557</v>
      </c>
      <c r="AR84" s="38">
        <v>16</v>
      </c>
      <c r="AS84" s="99" t="str">
        <f t="shared" si="13"/>
        <v>-</v>
      </c>
      <c r="AT84" s="412"/>
      <c r="AU84" s="418"/>
      <c r="AV84" s="412"/>
      <c r="AW84" s="415"/>
      <c r="AX84" s="38">
        <v>2822</v>
      </c>
      <c r="AY84" s="9">
        <f t="shared" si="43"/>
        <v>0.20598290598290592</v>
      </c>
      <c r="AZ84" s="3">
        <v>1282</v>
      </c>
      <c r="BA84" s="9">
        <f t="shared" si="23"/>
        <v>-2.1374045801526687E-2</v>
      </c>
      <c r="BB84" s="38"/>
      <c r="BC84" s="238"/>
    </row>
    <row r="85" spans="1:55" s="157" customFormat="1" ht="13.5" customHeight="1">
      <c r="A85" s="461"/>
      <c r="B85" s="62" t="s">
        <v>143</v>
      </c>
      <c r="C85" s="3">
        <v>1235742</v>
      </c>
      <c r="D85" s="9">
        <v>0.186</v>
      </c>
      <c r="E85" s="178"/>
      <c r="F85" s="5">
        <v>246882</v>
      </c>
      <c r="G85" s="9">
        <f t="shared" si="45"/>
        <v>0.29266389858995639</v>
      </c>
      <c r="H85" s="3">
        <v>416300</v>
      </c>
      <c r="I85" s="9">
        <f t="shared" si="38"/>
        <v>0.18435277382645809</v>
      </c>
      <c r="J85" s="3">
        <v>19934</v>
      </c>
      <c r="K85" s="9">
        <f t="shared" si="27"/>
        <v>0.43554659369148774</v>
      </c>
      <c r="L85" s="7">
        <v>90091</v>
      </c>
      <c r="M85" s="37">
        <f t="shared" si="44"/>
        <v>0.35683303713967285</v>
      </c>
      <c r="N85" s="3">
        <v>69738</v>
      </c>
      <c r="O85" s="9">
        <f t="shared" si="46"/>
        <v>7.3470330177788035E-2</v>
      </c>
      <c r="P85" s="3">
        <v>42328</v>
      </c>
      <c r="Q85" s="9">
        <f t="shared" si="31"/>
        <v>0.16330456769087021</v>
      </c>
      <c r="R85" s="7">
        <v>36071</v>
      </c>
      <c r="S85" s="37">
        <f t="shared" si="28"/>
        <v>0.40206786644381398</v>
      </c>
      <c r="T85" s="3">
        <v>34169</v>
      </c>
      <c r="U85" s="9">
        <f t="shared" si="20"/>
        <v>5.6816775949523723E-2</v>
      </c>
      <c r="V85" s="5">
        <v>456</v>
      </c>
      <c r="W85" s="9">
        <f t="shared" si="39"/>
        <v>0.2</v>
      </c>
      <c r="X85" s="13">
        <v>68047</v>
      </c>
      <c r="Y85" s="9">
        <f t="shared" si="47"/>
        <v>0.44213203348521768</v>
      </c>
      <c r="Z85" s="445"/>
      <c r="AA85" s="450"/>
      <c r="AB85" s="3">
        <v>27256</v>
      </c>
      <c r="AC85" s="9">
        <v>0.151</v>
      </c>
      <c r="AD85" s="3">
        <v>27108</v>
      </c>
      <c r="AE85" s="9">
        <v>0.16300000000000001</v>
      </c>
      <c r="AF85" s="38">
        <v>1900</v>
      </c>
      <c r="AG85" s="9">
        <f t="shared" si="41"/>
        <v>0.11764705882352944</v>
      </c>
      <c r="AH85" s="3">
        <v>11252</v>
      </c>
      <c r="AI85" s="9">
        <f t="shared" si="34"/>
        <v>8.7149758454106274E-2</v>
      </c>
      <c r="AJ85" s="426"/>
      <c r="AK85" s="427"/>
      <c r="AL85" s="5">
        <v>943</v>
      </c>
      <c r="AM85" s="37">
        <f t="shared" si="40"/>
        <v>7.4031890660592348E-2</v>
      </c>
      <c r="AN85" s="38">
        <v>1724</v>
      </c>
      <c r="AO85" s="9">
        <f t="shared" si="42"/>
        <v>0.39482200647249188</v>
      </c>
      <c r="AP85" s="426"/>
      <c r="AQ85" s="427"/>
      <c r="AR85" s="38">
        <v>0</v>
      </c>
      <c r="AS85" s="99" t="str">
        <f t="shared" si="13"/>
        <v>-</v>
      </c>
      <c r="AT85" s="412"/>
      <c r="AU85" s="418"/>
      <c r="AV85" s="412"/>
      <c r="AW85" s="415"/>
      <c r="AX85" s="38">
        <v>2935</v>
      </c>
      <c r="AY85" s="9">
        <f t="shared" si="43"/>
        <v>0.86467598475222363</v>
      </c>
      <c r="AZ85" s="3">
        <v>1353</v>
      </c>
      <c r="BA85" s="9">
        <f t="shared" si="23"/>
        <v>0.28612167300380231</v>
      </c>
      <c r="BB85" s="38"/>
      <c r="BC85" s="238"/>
    </row>
    <row r="86" spans="1:55" s="157" customFormat="1" ht="13.5" customHeight="1">
      <c r="A86" s="461"/>
      <c r="B86" s="62" t="s">
        <v>144</v>
      </c>
      <c r="C86" s="3">
        <v>1013123</v>
      </c>
      <c r="D86" s="9">
        <v>0.53900000000000003</v>
      </c>
      <c r="E86" s="178"/>
      <c r="F86" s="5">
        <v>193975</v>
      </c>
      <c r="G86" s="9">
        <f t="shared" si="45"/>
        <v>0.83914857305394897</v>
      </c>
      <c r="H86" s="3">
        <v>324900</v>
      </c>
      <c r="I86" s="9">
        <f t="shared" si="38"/>
        <v>0.3908390410958904</v>
      </c>
      <c r="J86" s="3">
        <v>17953</v>
      </c>
      <c r="K86" s="9">
        <f t="shared" si="27"/>
        <v>0.54368013757523648</v>
      </c>
      <c r="L86" s="7">
        <v>74638</v>
      </c>
      <c r="M86" s="37">
        <f t="shared" si="44"/>
        <v>1.0686807095343682</v>
      </c>
      <c r="N86" s="3">
        <v>59148</v>
      </c>
      <c r="O86" s="9">
        <f t="shared" si="46"/>
        <v>1.0777742649383497</v>
      </c>
      <c r="P86" s="3">
        <v>33861</v>
      </c>
      <c r="Q86" s="9">
        <f t="shared" si="31"/>
        <v>0.3336878175587854</v>
      </c>
      <c r="R86" s="7">
        <v>29475</v>
      </c>
      <c r="S86" s="37">
        <f t="shared" si="28"/>
        <v>1.4787654528635104</v>
      </c>
      <c r="T86" s="3">
        <v>25649</v>
      </c>
      <c r="U86" s="9">
        <f t="shared" si="20"/>
        <v>0.63223876797759959</v>
      </c>
      <c r="V86" s="5">
        <v>233</v>
      </c>
      <c r="W86" s="9">
        <f>(V86-V74)/V74</f>
        <v>6.8807339449541288E-2</v>
      </c>
      <c r="X86" s="13">
        <v>57618</v>
      </c>
      <c r="Y86" s="9">
        <f t="shared" si="47"/>
        <v>1.2942581826869475</v>
      </c>
      <c r="Z86" s="64">
        <v>16631</v>
      </c>
      <c r="AA86" s="65">
        <f>Z86/Z74-1</f>
        <v>9.7321192926893563E-2</v>
      </c>
      <c r="AB86" s="3">
        <v>18955</v>
      </c>
      <c r="AC86" s="9">
        <v>0.44800000000000001</v>
      </c>
      <c r="AD86" s="3">
        <v>17292</v>
      </c>
      <c r="AE86" s="9">
        <v>0.25800000000000001</v>
      </c>
      <c r="AF86" s="38">
        <v>2400</v>
      </c>
      <c r="AG86" s="9">
        <f t="shared" si="41"/>
        <v>4.3478260869565188E-2</v>
      </c>
      <c r="AH86" s="3">
        <v>10073</v>
      </c>
      <c r="AI86" s="9">
        <f t="shared" si="34"/>
        <v>0.40782669461914745</v>
      </c>
      <c r="AJ86" s="426"/>
      <c r="AK86" s="427"/>
      <c r="AL86" s="5">
        <v>1243</v>
      </c>
      <c r="AM86" s="37">
        <f t="shared" si="40"/>
        <v>-0.13800277392510407</v>
      </c>
      <c r="AN86" s="38">
        <v>1281</v>
      </c>
      <c r="AO86" s="9">
        <f t="shared" si="42"/>
        <v>0.35412262156448193</v>
      </c>
      <c r="AP86" s="426"/>
      <c r="AQ86" s="427"/>
      <c r="AR86" s="38">
        <v>77</v>
      </c>
      <c r="AS86" s="99" t="str">
        <f t="shared" si="13"/>
        <v>-</v>
      </c>
      <c r="AT86" s="412"/>
      <c r="AU86" s="418"/>
      <c r="AV86" s="412"/>
      <c r="AW86" s="415"/>
      <c r="AX86" s="38">
        <v>2179</v>
      </c>
      <c r="AY86" s="9">
        <f t="shared" si="43"/>
        <v>0.98813868613138678</v>
      </c>
      <c r="AZ86" s="3">
        <v>1001</v>
      </c>
      <c r="BA86" s="9">
        <f t="shared" ref="BA86:BA121" si="48">(AZ86/AZ74-1)</f>
        <v>0.52127659574468077</v>
      </c>
      <c r="BB86" s="38"/>
      <c r="BC86" s="238"/>
    </row>
    <row r="87" spans="1:55" s="157" customFormat="1" ht="13.5" customHeight="1">
      <c r="A87" s="461"/>
      <c r="B87" s="62" t="s">
        <v>145</v>
      </c>
      <c r="C87" s="3">
        <v>1055581</v>
      </c>
      <c r="D87" s="9">
        <v>0.47699999999999998</v>
      </c>
      <c r="E87" s="178"/>
      <c r="F87" s="5">
        <v>193829</v>
      </c>
      <c r="G87" s="9">
        <f t="shared" si="45"/>
        <v>0.47741148671824385</v>
      </c>
      <c r="H87" s="3">
        <v>372900</v>
      </c>
      <c r="I87" s="9">
        <f t="shared" si="38"/>
        <v>0.45834962847086436</v>
      </c>
      <c r="J87" s="3">
        <v>17103</v>
      </c>
      <c r="K87" s="9">
        <f t="shared" si="27"/>
        <v>0.5811223074789682</v>
      </c>
      <c r="L87" s="7">
        <v>66466</v>
      </c>
      <c r="M87" s="37">
        <f t="shared" si="44"/>
        <v>0.57461325246973538</v>
      </c>
      <c r="N87" s="3">
        <v>71717</v>
      </c>
      <c r="O87" s="9">
        <f t="shared" si="46"/>
        <v>0.86219879518072284</v>
      </c>
      <c r="P87" s="3">
        <v>39197</v>
      </c>
      <c r="Q87" s="9">
        <f t="shared" si="31"/>
        <v>1.5942815540406379</v>
      </c>
      <c r="R87" s="7">
        <v>21931</v>
      </c>
      <c r="S87" s="37">
        <f t="shared" si="28"/>
        <v>0.59800349752258808</v>
      </c>
      <c r="T87" s="3">
        <v>28993</v>
      </c>
      <c r="U87" s="9">
        <v>0.80400000000000005</v>
      </c>
      <c r="V87" s="5">
        <v>224</v>
      </c>
      <c r="W87" s="9">
        <f>(V87-V75)/V75</f>
        <v>-0.39784946236559138</v>
      </c>
      <c r="X87" s="13">
        <v>59991</v>
      </c>
      <c r="Y87" s="9">
        <f t="shared" si="47"/>
        <v>1.251153889451762</v>
      </c>
      <c r="Z87" s="445">
        <v>82290</v>
      </c>
      <c r="AA87" s="450">
        <f>Z87/SUM(Z75:Z77)-1</f>
        <v>1.0233587410867964</v>
      </c>
      <c r="AB87" s="3">
        <v>25020</v>
      </c>
      <c r="AC87" s="9">
        <v>0.27800000000000002</v>
      </c>
      <c r="AD87" s="3">
        <v>14943</v>
      </c>
      <c r="AE87" s="9">
        <v>0.05</v>
      </c>
      <c r="AF87" s="38">
        <v>3200</v>
      </c>
      <c r="AG87" s="9">
        <f t="shared" si="41"/>
        <v>0.68421052631578938</v>
      </c>
      <c r="AH87" s="3">
        <v>11386</v>
      </c>
      <c r="AI87" s="9">
        <f t="shared" si="34"/>
        <v>0.47353436003623656</v>
      </c>
      <c r="AJ87" s="426">
        <f>42231-AJ84-AJ81-AJ78</f>
        <v>5453</v>
      </c>
      <c r="AK87" s="427">
        <f>(AJ87/AJ75-1)</f>
        <v>-6.0799173269032059E-2</v>
      </c>
      <c r="AL87" s="5">
        <v>4102</v>
      </c>
      <c r="AM87" s="37">
        <f t="shared" si="40"/>
        <v>1.018700787401575</v>
      </c>
      <c r="AN87" s="38">
        <v>1655</v>
      </c>
      <c r="AO87" s="9">
        <f t="shared" si="42"/>
        <v>0.72395833333333326</v>
      </c>
      <c r="AP87" s="426">
        <f>AP172*0.216</f>
        <v>20646.792000000001</v>
      </c>
      <c r="AQ87" s="427">
        <f>(AP87/AP75-1)</f>
        <v>5.7489611047131239E-2</v>
      </c>
      <c r="AR87" s="38">
        <v>0</v>
      </c>
      <c r="AS87" s="99" t="str">
        <f t="shared" si="13"/>
        <v>-</v>
      </c>
      <c r="AT87" s="412"/>
      <c r="AU87" s="418"/>
      <c r="AV87" s="412"/>
      <c r="AW87" s="415"/>
      <c r="AX87" s="38">
        <v>2158</v>
      </c>
      <c r="AY87" s="9">
        <f t="shared" si="43"/>
        <v>0.64106463878326991</v>
      </c>
      <c r="AZ87" s="3">
        <v>1412</v>
      </c>
      <c r="BA87" s="9">
        <f t="shared" si="48"/>
        <v>0.26071428571428568</v>
      </c>
      <c r="BB87" s="38"/>
      <c r="BC87" s="238"/>
    </row>
    <row r="88" spans="1:55" s="157" customFormat="1" ht="13.5" customHeight="1">
      <c r="A88" s="461"/>
      <c r="B88" s="62" t="s">
        <v>150</v>
      </c>
      <c r="C88" s="3">
        <v>1004902</v>
      </c>
      <c r="D88" s="9">
        <v>0.39200000000000002</v>
      </c>
      <c r="E88" s="178"/>
      <c r="F88" s="5">
        <v>197244</v>
      </c>
      <c r="G88" s="9">
        <v>0.51300000000000001</v>
      </c>
      <c r="H88" s="3">
        <v>318600</v>
      </c>
      <c r="I88" s="9">
        <v>0.34589999999999999</v>
      </c>
      <c r="J88" s="3">
        <v>19532</v>
      </c>
      <c r="K88" s="9">
        <v>0.54810000000000003</v>
      </c>
      <c r="L88" s="7">
        <v>74845</v>
      </c>
      <c r="M88" s="37">
        <v>0.54500000000000004</v>
      </c>
      <c r="N88" s="3">
        <v>77298</v>
      </c>
      <c r="O88" s="9">
        <f t="shared" si="46"/>
        <v>0.48339058511965305</v>
      </c>
      <c r="P88" s="3">
        <v>45797</v>
      </c>
      <c r="Q88" s="9">
        <v>1.1679999999999999</v>
      </c>
      <c r="R88" s="7">
        <v>26832</v>
      </c>
      <c r="S88" s="37">
        <v>0.77200000000000002</v>
      </c>
      <c r="T88" s="3">
        <v>27812</v>
      </c>
      <c r="U88" s="9">
        <f t="shared" ref="U88:U113" si="49">(T88-T76)/T76</f>
        <v>0.41760538253733626</v>
      </c>
      <c r="V88" s="5">
        <v>458</v>
      </c>
      <c r="W88" s="9">
        <f t="shared" si="39"/>
        <v>0.56849315068493156</v>
      </c>
      <c r="X88" s="13">
        <v>67393</v>
      </c>
      <c r="Y88" s="9">
        <f t="shared" si="47"/>
        <v>0.65259931338891608</v>
      </c>
      <c r="Z88" s="445"/>
      <c r="AA88" s="450"/>
      <c r="AB88" s="3">
        <v>23019</v>
      </c>
      <c r="AC88" s="9">
        <v>0.17399999999999999</v>
      </c>
      <c r="AD88" s="3">
        <v>22000</v>
      </c>
      <c r="AE88" s="9">
        <v>5.7000000000000002E-2</v>
      </c>
      <c r="AF88" s="38">
        <v>2300</v>
      </c>
      <c r="AG88" s="9">
        <f t="shared" si="41"/>
        <v>0.4375</v>
      </c>
      <c r="AH88" s="3">
        <v>8678</v>
      </c>
      <c r="AI88" s="9">
        <f t="shared" si="34"/>
        <v>0.4069390402075227</v>
      </c>
      <c r="AJ88" s="426"/>
      <c r="AK88" s="427"/>
      <c r="AL88" s="5">
        <v>3898</v>
      </c>
      <c r="AM88" s="37">
        <f t="shared" si="40"/>
        <v>0.45828656939768053</v>
      </c>
      <c r="AN88" s="38">
        <v>1952</v>
      </c>
      <c r="AO88" s="9">
        <f t="shared" si="42"/>
        <v>0.33515731874145005</v>
      </c>
      <c r="AP88" s="426"/>
      <c r="AQ88" s="427"/>
      <c r="AR88" s="38">
        <v>0</v>
      </c>
      <c r="AS88" s="99" t="str">
        <f t="shared" si="13"/>
        <v>-</v>
      </c>
      <c r="AT88" s="412"/>
      <c r="AU88" s="418"/>
      <c r="AV88" s="412"/>
      <c r="AW88" s="415"/>
      <c r="AX88" s="38">
        <v>2305</v>
      </c>
      <c r="AY88" s="9">
        <f t="shared" si="43"/>
        <v>0.5234633179114343</v>
      </c>
      <c r="AZ88" s="3">
        <v>1607</v>
      </c>
      <c r="BA88" s="9">
        <f t="shared" si="48"/>
        <v>0.44905320108205582</v>
      </c>
      <c r="BB88" s="38"/>
      <c r="BC88" s="238"/>
    </row>
    <row r="89" spans="1:55" s="157" customFormat="1" ht="13.5" customHeight="1">
      <c r="A89" s="462"/>
      <c r="B89" s="41" t="s">
        <v>146</v>
      </c>
      <c r="C89" s="3">
        <v>1021428</v>
      </c>
      <c r="D89" s="9">
        <v>0.14899999999999999</v>
      </c>
      <c r="E89" s="178"/>
      <c r="F89" s="5">
        <v>202508</v>
      </c>
      <c r="G89" s="19">
        <v>0.13700000000000001</v>
      </c>
      <c r="H89" s="5">
        <v>294800</v>
      </c>
      <c r="I89" s="19">
        <v>9.06E-2</v>
      </c>
      <c r="J89" s="3">
        <v>18365</v>
      </c>
      <c r="K89" s="9">
        <v>0.13900000000000001</v>
      </c>
      <c r="L89" s="7">
        <v>89561</v>
      </c>
      <c r="M89" s="37">
        <v>0.33600000000000002</v>
      </c>
      <c r="N89" s="3">
        <v>81767</v>
      </c>
      <c r="O89" s="9">
        <f t="shared" si="46"/>
        <v>1.8509983682315864E-2</v>
      </c>
      <c r="P89" s="5">
        <v>45529</v>
      </c>
      <c r="Q89" s="19">
        <v>0.99399999999999999</v>
      </c>
      <c r="R89" s="53">
        <v>33775</v>
      </c>
      <c r="S89" s="45">
        <v>0.49</v>
      </c>
      <c r="T89" s="5">
        <v>25250</v>
      </c>
      <c r="U89" s="19">
        <f t="shared" si="49"/>
        <v>0.26067202556293373</v>
      </c>
      <c r="V89" s="42">
        <v>424</v>
      </c>
      <c r="W89" s="9">
        <f t="shared" si="39"/>
        <v>0.81974248927038629</v>
      </c>
      <c r="X89" s="5">
        <v>81225</v>
      </c>
      <c r="Y89" s="19">
        <f t="shared" si="47"/>
        <v>0.43443708609271514</v>
      </c>
      <c r="Z89" s="446"/>
      <c r="AA89" s="451"/>
      <c r="AB89" s="5">
        <v>21544</v>
      </c>
      <c r="AC89" s="19">
        <v>6.0999999999999999E-2</v>
      </c>
      <c r="AD89" s="5">
        <v>21143</v>
      </c>
      <c r="AE89" s="9">
        <f>(AD89-AD77)/AD77</f>
        <v>3.1718147660176645E-2</v>
      </c>
      <c r="AF89" s="46">
        <v>1400</v>
      </c>
      <c r="AG89" s="19">
        <f t="shared" si="41"/>
        <v>7.6923076923076872E-2</v>
      </c>
      <c r="AH89" s="3">
        <v>7464</v>
      </c>
      <c r="AI89" s="19">
        <f t="shared" si="34"/>
        <v>-6.3957863054928524E-2</v>
      </c>
      <c r="AJ89" s="433"/>
      <c r="AK89" s="427"/>
      <c r="AL89" s="42">
        <v>1658</v>
      </c>
      <c r="AM89" s="37">
        <f t="shared" si="40"/>
        <v>0.18175338560228083</v>
      </c>
      <c r="AN89" s="46">
        <v>2109</v>
      </c>
      <c r="AO89" s="19">
        <f t="shared" si="42"/>
        <v>0.87300177619893438</v>
      </c>
      <c r="AP89" s="433"/>
      <c r="AQ89" s="427"/>
      <c r="AR89" s="46">
        <v>0</v>
      </c>
      <c r="AS89" s="99" t="str">
        <f t="shared" si="13"/>
        <v>-</v>
      </c>
      <c r="AT89" s="413"/>
      <c r="AU89" s="419"/>
      <c r="AV89" s="413"/>
      <c r="AW89" s="416"/>
      <c r="AX89" s="46">
        <v>2305</v>
      </c>
      <c r="AY89" s="19">
        <f t="shared" si="43"/>
        <v>0.13101079489695788</v>
      </c>
      <c r="AZ89" s="5">
        <v>1453</v>
      </c>
      <c r="BA89" s="9">
        <f t="shared" si="48"/>
        <v>0.22306397306397296</v>
      </c>
      <c r="BB89" s="46"/>
      <c r="BC89" s="238"/>
    </row>
    <row r="90" spans="1:55" s="157" customFormat="1" ht="13.5" customHeight="1">
      <c r="A90" s="457" t="s">
        <v>151</v>
      </c>
      <c r="B90" s="2" t="s">
        <v>132</v>
      </c>
      <c r="C90" s="25">
        <v>1268007</v>
      </c>
      <c r="D90" s="24">
        <v>0.13400000000000001</v>
      </c>
      <c r="E90" s="178"/>
      <c r="F90" s="25">
        <v>268368</v>
      </c>
      <c r="G90" s="9">
        <f>(F90-F78)/F78</f>
        <v>0.15649442153301185</v>
      </c>
      <c r="H90" s="25">
        <v>323200</v>
      </c>
      <c r="I90" s="9">
        <f>(H90/H78-1)</f>
        <v>2.5380710659898442E-2</v>
      </c>
      <c r="J90" s="25">
        <v>24316</v>
      </c>
      <c r="K90" s="24">
        <v>0.30780000000000002</v>
      </c>
      <c r="L90" s="56">
        <v>102546</v>
      </c>
      <c r="M90" s="28">
        <v>0.249</v>
      </c>
      <c r="N90" s="23">
        <v>116450</v>
      </c>
      <c r="O90" s="24">
        <f t="shared" si="46"/>
        <v>0.26320699455448765</v>
      </c>
      <c r="P90" s="25">
        <v>51794</v>
      </c>
      <c r="Q90" s="9">
        <f t="shared" ref="Q90:Q112" si="50">(P90/P78-1)</f>
        <v>0.20336423410236759</v>
      </c>
      <c r="R90" s="56">
        <v>42127</v>
      </c>
      <c r="S90" s="28">
        <v>0.39</v>
      </c>
      <c r="T90" s="25">
        <v>41070</v>
      </c>
      <c r="U90" s="66">
        <f t="shared" si="49"/>
        <v>4.1539866098600123E-2</v>
      </c>
      <c r="V90" s="25">
        <v>727</v>
      </c>
      <c r="W90" s="28">
        <f>(V90-V78)/V78</f>
        <v>0.23011844331641285</v>
      </c>
      <c r="X90" s="25">
        <v>92249</v>
      </c>
      <c r="Y90" s="9">
        <f t="shared" ref="Y90:Y115" si="51">(X90/X78-1)</f>
        <v>0.28291102272411206</v>
      </c>
      <c r="Z90" s="431">
        <v>198780</v>
      </c>
      <c r="AA90" s="421">
        <f>(SUM(Z78:Z85)/Z90)</f>
        <v>0.95975953315222862</v>
      </c>
      <c r="AB90" s="25">
        <v>27432</v>
      </c>
      <c r="AC90" s="24">
        <v>-7.0000000000000001E-3</v>
      </c>
      <c r="AD90" s="23">
        <v>27995</v>
      </c>
      <c r="AE90" s="24">
        <f t="shared" ref="AE90:AE101" si="52">(AD90/AD78-1)</f>
        <v>-9.0265486725663591E-3</v>
      </c>
      <c r="AF90" s="25">
        <v>6200</v>
      </c>
      <c r="AG90" s="24">
        <f>(AF90/AF78-1)</f>
        <v>6.8965517241379226E-2</v>
      </c>
      <c r="AH90" s="23">
        <v>13131</v>
      </c>
      <c r="AI90" s="9">
        <f t="shared" si="34"/>
        <v>0.30074294205052005</v>
      </c>
      <c r="AJ90" s="440">
        <v>5161</v>
      </c>
      <c r="AK90" s="452">
        <f>(AJ90/AJ78-1)</f>
        <v>2.2276422764227641</v>
      </c>
      <c r="AL90" s="25">
        <v>1154</v>
      </c>
      <c r="AM90" s="28">
        <f t="shared" si="40"/>
        <v>2.3049645390070816E-2</v>
      </c>
      <c r="AN90" s="29">
        <v>2608</v>
      </c>
      <c r="AO90" s="9">
        <f t="shared" ref="AO90:AO106" si="53">(AN90/AN78-1)</f>
        <v>0.33675038441824712</v>
      </c>
      <c r="AP90" s="440">
        <f>AP173*0.279</f>
        <v>30321.72</v>
      </c>
      <c r="AQ90" s="452">
        <f>(AP90/AP78-1)</f>
        <v>2.6588800666621948E-2</v>
      </c>
      <c r="AR90" s="25">
        <v>0</v>
      </c>
      <c r="AS90" s="138" t="str">
        <f t="shared" si="13"/>
        <v>-</v>
      </c>
      <c r="AT90" s="411">
        <v>407</v>
      </c>
      <c r="AU90" s="417">
        <f>AT90/AT78-1</f>
        <v>1.2362637362637363</v>
      </c>
      <c r="AV90" s="411">
        <v>17859</v>
      </c>
      <c r="AW90" s="414">
        <f>AV90/AV78-1</f>
        <v>0.32494992210104612</v>
      </c>
      <c r="AX90" s="25">
        <v>4254</v>
      </c>
      <c r="AY90" s="9">
        <f>(AX90/AX78-1)</f>
        <v>0.31784386617100369</v>
      </c>
      <c r="AZ90" s="25">
        <v>2720</v>
      </c>
      <c r="BA90" s="24">
        <f t="shared" si="48"/>
        <v>0.20300751879699241</v>
      </c>
      <c r="BB90" s="25"/>
      <c r="BC90" s="237"/>
    </row>
    <row r="91" spans="1:55" s="157" customFormat="1" ht="13.5" customHeight="1">
      <c r="A91" s="461"/>
      <c r="B91" s="15" t="s">
        <v>133</v>
      </c>
      <c r="C91" s="5">
        <v>1091628</v>
      </c>
      <c r="D91" s="9">
        <f t="shared" ref="D91:D125" si="54">(C91-C79)/C79</f>
        <v>0.20209711893915117</v>
      </c>
      <c r="E91" s="178"/>
      <c r="F91" s="5">
        <v>231640</v>
      </c>
      <c r="G91" s="9">
        <f>(F91-F79)/F79</f>
        <v>0.17117663713950573</v>
      </c>
      <c r="H91" s="5">
        <v>320800</v>
      </c>
      <c r="I91" s="9">
        <v>0.13200000000000001</v>
      </c>
      <c r="J91" s="5">
        <v>23190</v>
      </c>
      <c r="K91" s="9">
        <f>(J91/J79-1)</f>
        <v>0.28383989370536455</v>
      </c>
      <c r="L91" s="53">
        <v>90597</v>
      </c>
      <c r="M91" s="37">
        <f>L91/L79-1</f>
        <v>0.24321765262854544</v>
      </c>
      <c r="N91" s="3">
        <v>96958</v>
      </c>
      <c r="O91" s="9">
        <f t="shared" si="46"/>
        <v>0.30866930313541824</v>
      </c>
      <c r="P91" s="5">
        <v>50718</v>
      </c>
      <c r="Q91" s="9">
        <f t="shared" si="50"/>
        <v>0.14528949507722877</v>
      </c>
      <c r="R91" s="53">
        <v>39332</v>
      </c>
      <c r="S91" s="37">
        <f>(R91/R79-1)</f>
        <v>0.42465951898000576</v>
      </c>
      <c r="T91" s="5">
        <v>36810</v>
      </c>
      <c r="U91" s="67">
        <f t="shared" si="49"/>
        <v>0.24408544004326077</v>
      </c>
      <c r="V91" s="5">
        <v>405</v>
      </c>
      <c r="W91" s="9">
        <f t="shared" ref="W91:W101" si="55">(V91-V79)/V79</f>
        <v>-8.1632653061224483E-2</v>
      </c>
      <c r="X91" s="11">
        <v>73619</v>
      </c>
      <c r="Y91" s="9">
        <f t="shared" si="51"/>
        <v>0.45044920797541188</v>
      </c>
      <c r="Z91" s="432"/>
      <c r="AA91" s="422"/>
      <c r="AB91" s="3">
        <v>24731</v>
      </c>
      <c r="AC91" s="9">
        <f t="shared" ref="AC91:AC125" si="56">(AB91/AB79-1)</f>
        <v>0.20275265052037739</v>
      </c>
      <c r="AD91" s="3">
        <v>18144</v>
      </c>
      <c r="AE91" s="9">
        <f t="shared" si="52"/>
        <v>-0.24292748059751312</v>
      </c>
      <c r="AF91" s="3">
        <v>4100</v>
      </c>
      <c r="AG91" s="9">
        <f t="shared" si="41"/>
        <v>0</v>
      </c>
      <c r="AH91" s="3">
        <v>9548</v>
      </c>
      <c r="AI91" s="9">
        <f t="shared" si="34"/>
        <v>0.24810457516339871</v>
      </c>
      <c r="AJ91" s="426"/>
      <c r="AK91" s="427"/>
      <c r="AL91" s="3">
        <v>1147</v>
      </c>
      <c r="AM91" s="37">
        <f t="shared" si="40"/>
        <v>0.48575129533678751</v>
      </c>
      <c r="AN91" s="38">
        <v>1847</v>
      </c>
      <c r="AO91" s="9">
        <f t="shared" si="53"/>
        <v>0.73753527751646275</v>
      </c>
      <c r="AP91" s="426"/>
      <c r="AQ91" s="427"/>
      <c r="AR91" s="3">
        <v>24</v>
      </c>
      <c r="AS91" s="99" t="str">
        <f t="shared" si="13"/>
        <v>-</v>
      </c>
      <c r="AT91" s="412"/>
      <c r="AU91" s="418"/>
      <c r="AV91" s="412"/>
      <c r="AW91" s="415"/>
      <c r="AX91" s="3">
        <v>3209</v>
      </c>
      <c r="AY91" s="9">
        <f t="shared" ref="AY91:AY101" si="57">(AX91/AX79-1)</f>
        <v>0.7151256012827365</v>
      </c>
      <c r="AZ91" s="3">
        <v>1652</v>
      </c>
      <c r="BA91" s="9">
        <f t="shared" si="48"/>
        <v>0.29874213836477992</v>
      </c>
      <c r="BB91" s="3"/>
      <c r="BC91" s="238"/>
    </row>
    <row r="92" spans="1:55" s="157" customFormat="1" ht="13.5" customHeight="1">
      <c r="A92" s="461"/>
      <c r="B92" s="15" t="s">
        <v>21</v>
      </c>
      <c r="C92" s="5">
        <v>868694</v>
      </c>
      <c r="D92" s="9">
        <f t="shared" si="54"/>
        <v>-8.5763298726037565E-2</v>
      </c>
      <c r="E92" s="178"/>
      <c r="F92" s="61">
        <v>89121</v>
      </c>
      <c r="G92" s="9">
        <f>(F92-F80)/F80</f>
        <v>-0.47357571103694734</v>
      </c>
      <c r="H92" s="5">
        <v>308800</v>
      </c>
      <c r="I92" s="9">
        <v>-7.6999999999999999E-2</v>
      </c>
      <c r="J92" s="5">
        <v>19531</v>
      </c>
      <c r="K92" s="9">
        <f>(J92/J80-1)</f>
        <v>4.988442724291775E-2</v>
      </c>
      <c r="L92" s="53">
        <v>66392</v>
      </c>
      <c r="M92" s="37">
        <f>L92/L80-1</f>
        <v>-5.6073703366697036E-2</v>
      </c>
      <c r="N92" s="3">
        <v>75395</v>
      </c>
      <c r="O92" s="9">
        <f t="shared" si="46"/>
        <v>1.1938556230599846E-4</v>
      </c>
      <c r="P92" s="5">
        <v>41462</v>
      </c>
      <c r="Q92" s="9">
        <f t="shared" si="50"/>
        <v>-9.3171777262586963E-2</v>
      </c>
      <c r="R92" s="53">
        <v>24971</v>
      </c>
      <c r="S92" s="37">
        <f>(R92/R80-1)</f>
        <v>-1.0775264429742859E-2</v>
      </c>
      <c r="T92" s="5">
        <v>29619</v>
      </c>
      <c r="U92" s="67">
        <f t="shared" si="49"/>
        <v>-1.6241530490235155E-2</v>
      </c>
      <c r="V92" s="5">
        <v>471</v>
      </c>
      <c r="W92" s="9">
        <f t="shared" si="55"/>
        <v>0.30833333333333335</v>
      </c>
      <c r="X92" s="11">
        <v>62530</v>
      </c>
      <c r="Y92" s="9">
        <f t="shared" si="51"/>
        <v>0.20111409911640421</v>
      </c>
      <c r="Z92" s="432"/>
      <c r="AA92" s="422"/>
      <c r="AB92" s="3">
        <v>22637</v>
      </c>
      <c r="AC92" s="9">
        <f t="shared" si="56"/>
        <v>-5.2982471632301298E-4</v>
      </c>
      <c r="AD92" s="63">
        <v>16505</v>
      </c>
      <c r="AE92" s="9">
        <f t="shared" si="52"/>
        <v>-0.13017127799736494</v>
      </c>
      <c r="AF92" s="3">
        <v>2300</v>
      </c>
      <c r="AG92" s="9">
        <f t="shared" si="41"/>
        <v>-0.42500000000000004</v>
      </c>
      <c r="AH92" s="3">
        <v>11317</v>
      </c>
      <c r="AI92" s="9">
        <f t="shared" si="34"/>
        <v>0.15857903357903358</v>
      </c>
      <c r="AJ92" s="426"/>
      <c r="AK92" s="427"/>
      <c r="AL92" s="3">
        <v>1257</v>
      </c>
      <c r="AM92" s="37">
        <f t="shared" si="40"/>
        <v>-0.12829403606102641</v>
      </c>
      <c r="AN92" s="38">
        <v>2035</v>
      </c>
      <c r="AO92" s="9">
        <f t="shared" si="53"/>
        <v>0.30448717948717952</v>
      </c>
      <c r="AP92" s="426"/>
      <c r="AQ92" s="427"/>
      <c r="AR92" s="3">
        <v>0</v>
      </c>
      <c r="AS92" s="99">
        <f t="shared" si="13"/>
        <v>-1</v>
      </c>
      <c r="AT92" s="412"/>
      <c r="AU92" s="418"/>
      <c r="AV92" s="412"/>
      <c r="AW92" s="415"/>
      <c r="AX92" s="3">
        <v>2305</v>
      </c>
      <c r="AY92" s="9">
        <f t="shared" si="57"/>
        <v>0.14108910891089099</v>
      </c>
      <c r="AZ92" s="3">
        <v>1485</v>
      </c>
      <c r="BA92" s="9">
        <f t="shared" si="48"/>
        <v>0.12075471698113205</v>
      </c>
      <c r="BB92" s="3"/>
      <c r="BC92" s="238"/>
    </row>
    <row r="93" spans="1:55" s="157" customFormat="1" ht="13.5" customHeight="1">
      <c r="A93" s="461"/>
      <c r="B93" s="15" t="s">
        <v>22</v>
      </c>
      <c r="C93" s="5">
        <v>867487</v>
      </c>
      <c r="D93" s="9">
        <f t="shared" si="54"/>
        <v>-7.310258317092351E-2</v>
      </c>
      <c r="E93" s="178"/>
      <c r="F93" s="5">
        <v>63790</v>
      </c>
      <c r="G93" s="9">
        <f>(F93-F81)/F81</f>
        <v>-0.66352290829298144</v>
      </c>
      <c r="H93" s="5">
        <v>348800</v>
      </c>
      <c r="I93" s="9">
        <f>(H93/H81-1)</f>
        <v>3.6552748885587016E-2</v>
      </c>
      <c r="J93" s="5">
        <v>18656</v>
      </c>
      <c r="K93" s="9">
        <f>(J93/J81-1)</f>
        <v>0.18158211413009062</v>
      </c>
      <c r="L93" s="53">
        <v>74392</v>
      </c>
      <c r="M93" s="37">
        <f>L93/L81-1</f>
        <v>0.13817108061382166</v>
      </c>
      <c r="N93" s="3">
        <v>69858</v>
      </c>
      <c r="O93" s="9">
        <f t="shared" si="46"/>
        <v>0.34598562648118536</v>
      </c>
      <c r="P93" s="5">
        <v>43817</v>
      </c>
      <c r="Q93" s="9">
        <f t="shared" si="50"/>
        <v>1.5410641453466711E-2</v>
      </c>
      <c r="R93" s="53">
        <v>25865</v>
      </c>
      <c r="S93" s="37">
        <f>(R93/R81-1)</f>
        <v>2.3626721545037199E-2</v>
      </c>
      <c r="T93" s="5">
        <v>28004</v>
      </c>
      <c r="U93" s="67">
        <f t="shared" si="49"/>
        <v>0.13046988535443244</v>
      </c>
      <c r="V93" s="68">
        <v>315</v>
      </c>
      <c r="W93" s="9">
        <f t="shared" si="55"/>
        <v>0.28048780487804881</v>
      </c>
      <c r="X93" s="11">
        <v>57620</v>
      </c>
      <c r="Y93" s="9">
        <f t="shared" si="51"/>
        <v>0.1972240691489362</v>
      </c>
      <c r="Z93" s="432"/>
      <c r="AA93" s="422"/>
      <c r="AB93" s="5">
        <v>22239</v>
      </c>
      <c r="AC93" s="9">
        <f t="shared" si="56"/>
        <v>0.10923238066736496</v>
      </c>
      <c r="AD93" s="3">
        <v>15795</v>
      </c>
      <c r="AE93" s="9">
        <f t="shared" si="52"/>
        <v>-0.21182634730538918</v>
      </c>
      <c r="AF93" s="53">
        <v>1600</v>
      </c>
      <c r="AG93" s="9">
        <f t="shared" si="41"/>
        <v>-0.62790697674418605</v>
      </c>
      <c r="AH93" s="3">
        <v>13025</v>
      </c>
      <c r="AI93" s="9">
        <f t="shared" si="34"/>
        <v>6.9024950755088646E-2</v>
      </c>
      <c r="AJ93" s="426">
        <f>16200-AJ90</f>
        <v>11039</v>
      </c>
      <c r="AK93" s="438">
        <f>(AJ93/AJ81-1)</f>
        <v>-0.18356630426743581</v>
      </c>
      <c r="AL93" s="5">
        <v>1863</v>
      </c>
      <c r="AM93" s="37">
        <f t="shared" si="40"/>
        <v>-0.15086599817684598</v>
      </c>
      <c r="AN93" s="38">
        <v>1213</v>
      </c>
      <c r="AO93" s="9">
        <f t="shared" si="53"/>
        <v>3.2340425531914851E-2</v>
      </c>
      <c r="AP93" s="426">
        <f>AP173*0.233</f>
        <v>25322.440000000002</v>
      </c>
      <c r="AQ93" s="438">
        <f>(AP93/AP81-1)</f>
        <v>0.18265671213509305</v>
      </c>
      <c r="AR93" s="53">
        <v>26</v>
      </c>
      <c r="AS93" s="99" t="str">
        <f t="shared" si="13"/>
        <v>-</v>
      </c>
      <c r="AT93" s="412"/>
      <c r="AU93" s="418"/>
      <c r="AV93" s="412"/>
      <c r="AW93" s="415"/>
      <c r="AX93" s="53">
        <v>2198</v>
      </c>
      <c r="AY93" s="9">
        <f t="shared" si="57"/>
        <v>0.12028542303771661</v>
      </c>
      <c r="AZ93" s="5">
        <v>1310</v>
      </c>
      <c r="BA93" s="9">
        <f t="shared" si="48"/>
        <v>3.7212984956452866E-2</v>
      </c>
      <c r="BB93" s="5"/>
      <c r="BC93" s="238"/>
    </row>
    <row r="94" spans="1:55" s="157" customFormat="1" ht="13.5" customHeight="1">
      <c r="A94" s="461"/>
      <c r="B94" s="15" t="s">
        <v>23</v>
      </c>
      <c r="C94" s="5">
        <v>1014409</v>
      </c>
      <c r="D94" s="9">
        <f t="shared" si="54"/>
        <v>-9.1872066730805859E-3</v>
      </c>
      <c r="E94" s="178"/>
      <c r="F94" s="5">
        <v>84014</v>
      </c>
      <c r="G94" s="9">
        <v>-0.58299999999999996</v>
      </c>
      <c r="H94" s="5">
        <v>384900</v>
      </c>
      <c r="I94" s="9">
        <f t="shared" ref="I94:I116" si="58">(H94-H82)/H82</f>
        <v>9.5956719817767655E-2</v>
      </c>
      <c r="J94" s="5">
        <v>20413</v>
      </c>
      <c r="K94" s="9">
        <v>5.8000000000000003E-2</v>
      </c>
      <c r="L94" s="53">
        <v>83827</v>
      </c>
      <c r="M94" s="37">
        <f t="shared" ref="M94:M125" si="59">(L94-L82)/L82</f>
        <v>0.18812540748929898</v>
      </c>
      <c r="N94" s="3">
        <v>79706</v>
      </c>
      <c r="O94" s="9">
        <f t="shared" si="46"/>
        <v>0.79328188629153829</v>
      </c>
      <c r="P94" s="5">
        <v>38488</v>
      </c>
      <c r="Q94" s="9">
        <f t="shared" si="50"/>
        <v>-5.4720502996365106E-2</v>
      </c>
      <c r="R94" s="53">
        <v>31975</v>
      </c>
      <c r="S94" s="37">
        <f t="shared" ref="S94:S126" si="60">(R94-R82)/R82</f>
        <v>0.26178919537508388</v>
      </c>
      <c r="T94" s="5">
        <v>33736</v>
      </c>
      <c r="U94" s="67">
        <f t="shared" si="49"/>
        <v>4.9233353030821388E-2</v>
      </c>
      <c r="V94" s="5">
        <v>328</v>
      </c>
      <c r="W94" s="9">
        <f t="shared" si="55"/>
        <v>0.32793522267206476</v>
      </c>
      <c r="X94" s="11">
        <v>67289</v>
      </c>
      <c r="Y94" s="9">
        <f t="shared" si="51"/>
        <v>0.1895661704911078</v>
      </c>
      <c r="Z94" s="432"/>
      <c r="AA94" s="422"/>
      <c r="AB94" s="5">
        <v>24317</v>
      </c>
      <c r="AC94" s="9">
        <f t="shared" si="56"/>
        <v>1.1480387671061854E-2</v>
      </c>
      <c r="AD94" s="3">
        <v>19599</v>
      </c>
      <c r="AE94" s="9">
        <f t="shared" si="52"/>
        <v>-2.2347483413977187E-2</v>
      </c>
      <c r="AF94" s="53">
        <v>2300</v>
      </c>
      <c r="AG94" s="9">
        <f t="shared" si="41"/>
        <v>-0.1785714285714286</v>
      </c>
      <c r="AH94" s="3">
        <v>15305</v>
      </c>
      <c r="AI94" s="9">
        <f t="shared" si="34"/>
        <v>0.24228896103896103</v>
      </c>
      <c r="AJ94" s="426"/>
      <c r="AK94" s="438"/>
      <c r="AL94" s="5">
        <v>3031</v>
      </c>
      <c r="AM94" s="37">
        <f t="shared" si="40"/>
        <v>-0.38668555240793201</v>
      </c>
      <c r="AN94" s="38">
        <v>1551</v>
      </c>
      <c r="AO94" s="9">
        <f t="shared" si="53"/>
        <v>0.1346013167520117</v>
      </c>
      <c r="AP94" s="426"/>
      <c r="AQ94" s="438"/>
      <c r="AR94" s="53">
        <v>58</v>
      </c>
      <c r="AS94" s="99" t="str">
        <f t="shared" si="13"/>
        <v>-</v>
      </c>
      <c r="AT94" s="412"/>
      <c r="AU94" s="418"/>
      <c r="AV94" s="412"/>
      <c r="AW94" s="415"/>
      <c r="AX94" s="53">
        <v>2024</v>
      </c>
      <c r="AY94" s="9">
        <f t="shared" si="57"/>
        <v>0.25325077399380813</v>
      </c>
      <c r="AZ94" s="5">
        <v>821</v>
      </c>
      <c r="BA94" s="9">
        <f t="shared" si="48"/>
        <v>0.94089834515366433</v>
      </c>
      <c r="BB94" s="5"/>
      <c r="BC94" s="238"/>
    </row>
    <row r="95" spans="1:55" s="157" customFormat="1" ht="13.5" customHeight="1">
      <c r="A95" s="461"/>
      <c r="B95" s="15" t="s">
        <v>24</v>
      </c>
      <c r="C95" s="5">
        <v>1053658</v>
      </c>
      <c r="D95" s="9">
        <f t="shared" si="54"/>
        <v>5.619603908191384E-2</v>
      </c>
      <c r="E95" s="178"/>
      <c r="F95" s="5">
        <v>103817</v>
      </c>
      <c r="G95" s="9">
        <f t="shared" ref="G95:G115" si="61">(F95-F83)/F83</f>
        <v>-0.42030175109443402</v>
      </c>
      <c r="H95" s="5">
        <v>377900</v>
      </c>
      <c r="I95" s="9">
        <f t="shared" si="58"/>
        <v>0.10821114369501467</v>
      </c>
      <c r="J95" s="5">
        <v>20161</v>
      </c>
      <c r="K95" s="9">
        <f t="shared" ref="K95:K115" si="62">(J95-J83)/J83</f>
        <v>0.18433883569288609</v>
      </c>
      <c r="L95" s="53">
        <v>79869</v>
      </c>
      <c r="M95" s="37">
        <f t="shared" si="59"/>
        <v>0.3732161892644682</v>
      </c>
      <c r="N95" s="3">
        <v>76993</v>
      </c>
      <c r="O95" s="9">
        <f t="shared" si="46"/>
        <v>0.73197012642281911</v>
      </c>
      <c r="P95" s="5">
        <v>39407</v>
      </c>
      <c r="Q95" s="9">
        <f t="shared" si="50"/>
        <v>0.11168472128187767</v>
      </c>
      <c r="R95" s="53">
        <v>31114</v>
      </c>
      <c r="S95" s="37">
        <f t="shared" si="60"/>
        <v>0.45855990999437463</v>
      </c>
      <c r="T95" s="5">
        <v>34233</v>
      </c>
      <c r="U95" s="67">
        <f t="shared" si="49"/>
        <v>0.14018784972022383</v>
      </c>
      <c r="V95" s="68">
        <v>369</v>
      </c>
      <c r="W95" s="9">
        <f t="shared" si="55"/>
        <v>0.21782178217821782</v>
      </c>
      <c r="X95" s="11">
        <v>76262</v>
      </c>
      <c r="Y95" s="9">
        <f t="shared" si="51"/>
        <v>0.40702201066400989</v>
      </c>
      <c r="Z95" s="432"/>
      <c r="AA95" s="422"/>
      <c r="AB95" s="5">
        <v>25475</v>
      </c>
      <c r="AC95" s="9">
        <f t="shared" si="56"/>
        <v>5.8547328180835967E-2</v>
      </c>
      <c r="AD95" s="3">
        <v>19086</v>
      </c>
      <c r="AE95" s="9">
        <f t="shared" si="52"/>
        <v>-3.5476046088538493E-2</v>
      </c>
      <c r="AF95" s="53">
        <v>2100</v>
      </c>
      <c r="AG95" s="9">
        <f t="shared" si="41"/>
        <v>-0.30000000000000004</v>
      </c>
      <c r="AH95" s="3">
        <v>13678</v>
      </c>
      <c r="AI95" s="9">
        <f t="shared" si="34"/>
        <v>0.34163805787150564</v>
      </c>
      <c r="AJ95" s="426"/>
      <c r="AK95" s="438"/>
      <c r="AL95" s="5">
        <v>1869</v>
      </c>
      <c r="AM95" s="37">
        <f t="shared" si="40"/>
        <v>0.23203691496374423</v>
      </c>
      <c r="AN95" s="38">
        <v>1759</v>
      </c>
      <c r="AO95" s="9">
        <f t="shared" si="53"/>
        <v>0.27556200145032639</v>
      </c>
      <c r="AP95" s="426"/>
      <c r="AQ95" s="438"/>
      <c r="AR95" s="53">
        <v>0</v>
      </c>
      <c r="AS95" s="99" t="str">
        <f t="shared" ref="AS95:AS158" si="63">IFERROR(AR95/AR83-1,"-")</f>
        <v>-</v>
      </c>
      <c r="AT95" s="412"/>
      <c r="AU95" s="418"/>
      <c r="AV95" s="412"/>
      <c r="AW95" s="415"/>
      <c r="AX95" s="53">
        <v>2585</v>
      </c>
      <c r="AY95" s="9">
        <f t="shared" si="57"/>
        <v>0.35198744769874479</v>
      </c>
      <c r="AZ95" s="5">
        <v>678</v>
      </c>
      <c r="BA95" s="9">
        <f t="shared" si="48"/>
        <v>0.3587174348697395</v>
      </c>
      <c r="BB95" s="5"/>
      <c r="BC95" s="238"/>
    </row>
    <row r="96" spans="1:55" s="157" customFormat="1" ht="13.5" customHeight="1">
      <c r="A96" s="461"/>
      <c r="B96" s="15" t="s">
        <v>25</v>
      </c>
      <c r="C96" s="5">
        <v>1241629</v>
      </c>
      <c r="D96" s="9">
        <f t="shared" si="54"/>
        <v>1.4632396383822155E-2</v>
      </c>
      <c r="E96" s="178"/>
      <c r="F96" s="5">
        <v>140053</v>
      </c>
      <c r="G96" s="9">
        <f t="shared" si="61"/>
        <v>-0.40678633752943766</v>
      </c>
      <c r="H96" s="5">
        <v>395400</v>
      </c>
      <c r="I96" s="9">
        <f t="shared" si="58"/>
        <v>2.1441487987600105E-2</v>
      </c>
      <c r="J96" s="5">
        <v>17752</v>
      </c>
      <c r="K96" s="9">
        <f t="shared" si="62"/>
        <v>3.3775914279058933E-2</v>
      </c>
      <c r="L96" s="53">
        <v>89604</v>
      </c>
      <c r="M96" s="37">
        <f t="shared" si="59"/>
        <v>0.17882937995816395</v>
      </c>
      <c r="N96" s="3">
        <v>95806</v>
      </c>
      <c r="O96" s="9">
        <f t="shared" si="46"/>
        <v>0.51318823640900901</v>
      </c>
      <c r="P96" s="5">
        <v>38948</v>
      </c>
      <c r="Q96" s="9">
        <f t="shared" si="50"/>
        <v>5.7593613381486497E-2</v>
      </c>
      <c r="R96" s="53">
        <v>35337</v>
      </c>
      <c r="S96" s="37">
        <f t="shared" si="60"/>
        <v>0.23599160545645331</v>
      </c>
      <c r="T96" s="5">
        <v>40587</v>
      </c>
      <c r="U96" s="67">
        <f t="shared" si="49"/>
        <v>0.24252257768253482</v>
      </c>
      <c r="V96" s="5">
        <v>707</v>
      </c>
      <c r="W96" s="9">
        <f t="shared" si="55"/>
        <v>0.59593679458239279</v>
      </c>
      <c r="X96" s="11">
        <v>93899</v>
      </c>
      <c r="Y96" s="9">
        <f t="shared" si="51"/>
        <v>0.29104508393944806</v>
      </c>
      <c r="Z96" s="432"/>
      <c r="AA96" s="422"/>
      <c r="AB96" s="5">
        <v>28607</v>
      </c>
      <c r="AC96" s="9">
        <f t="shared" si="56"/>
        <v>6.1051147954452656E-2</v>
      </c>
      <c r="AD96" s="3">
        <v>29200</v>
      </c>
      <c r="AE96" s="9">
        <f t="shared" si="52"/>
        <v>-4.2622950819672156E-2</v>
      </c>
      <c r="AF96" s="5">
        <v>2500</v>
      </c>
      <c r="AG96" s="9">
        <f t="shared" si="41"/>
        <v>-0.19354838709677424</v>
      </c>
      <c r="AH96" s="3">
        <v>15702</v>
      </c>
      <c r="AI96" s="9">
        <f t="shared" si="34"/>
        <v>0.28179591836734696</v>
      </c>
      <c r="AJ96" s="426">
        <f>38183-AJ93-AJ90</f>
        <v>21983</v>
      </c>
      <c r="AK96" s="427">
        <f>(AJ96/AJ84-1)</f>
        <v>1.5006002400960394E-2</v>
      </c>
      <c r="AL96" s="5">
        <v>1204</v>
      </c>
      <c r="AM96" s="37">
        <f t="shared" si="40"/>
        <v>0.24251805985552122</v>
      </c>
      <c r="AN96" s="38">
        <v>1973</v>
      </c>
      <c r="AO96" s="9">
        <f t="shared" si="53"/>
        <v>0.15110851808634762</v>
      </c>
      <c r="AP96" s="426">
        <f>AP173*0.226</f>
        <v>24561.68</v>
      </c>
      <c r="AQ96" s="427">
        <f>(AP96/AP84-1)</f>
        <v>2.373020185570085E-2</v>
      </c>
      <c r="AR96" s="5">
        <v>70</v>
      </c>
      <c r="AS96" s="99">
        <f t="shared" si="63"/>
        <v>3.375</v>
      </c>
      <c r="AT96" s="412"/>
      <c r="AU96" s="418"/>
      <c r="AV96" s="412"/>
      <c r="AW96" s="415"/>
      <c r="AX96" s="5">
        <v>3541</v>
      </c>
      <c r="AY96" s="9">
        <f t="shared" si="57"/>
        <v>0.25478384124734221</v>
      </c>
      <c r="AZ96" s="5">
        <v>1588</v>
      </c>
      <c r="BA96" s="9">
        <f t="shared" si="48"/>
        <v>0.23868954758190331</v>
      </c>
      <c r="BB96" s="5"/>
      <c r="BC96" s="238"/>
    </row>
    <row r="97" spans="1:55" s="157" customFormat="1" ht="13.5" customHeight="1">
      <c r="A97" s="461"/>
      <c r="B97" s="15" t="s">
        <v>26</v>
      </c>
      <c r="C97" s="5">
        <v>1247222</v>
      </c>
      <c r="D97" s="9">
        <f t="shared" si="54"/>
        <v>9.2899650574310814E-3</v>
      </c>
      <c r="E97" s="178"/>
      <c r="F97" s="5">
        <v>147030</v>
      </c>
      <c r="G97" s="9">
        <f t="shared" si="61"/>
        <v>-0.40445232945293702</v>
      </c>
      <c r="H97" s="5">
        <v>420300</v>
      </c>
      <c r="I97" s="9">
        <f t="shared" si="58"/>
        <v>9.6084554407878942E-3</v>
      </c>
      <c r="J97" s="5">
        <v>21348</v>
      </c>
      <c r="K97" s="9">
        <f t="shared" si="62"/>
        <v>7.0934082472158128E-2</v>
      </c>
      <c r="L97" s="53">
        <v>104831</v>
      </c>
      <c r="M97" s="37">
        <f t="shared" si="59"/>
        <v>0.16361234751529011</v>
      </c>
      <c r="N97" s="5">
        <v>112238</v>
      </c>
      <c r="O97" s="9">
        <f t="shared" si="46"/>
        <v>0.60942384352863577</v>
      </c>
      <c r="P97" s="5">
        <v>52072</v>
      </c>
      <c r="Q97" s="9">
        <f t="shared" si="50"/>
        <v>0.23020223020223018</v>
      </c>
      <c r="R97" s="53">
        <v>45132</v>
      </c>
      <c r="S97" s="37">
        <f t="shared" si="60"/>
        <v>0.25119902414682155</v>
      </c>
      <c r="T97" s="5">
        <v>44364</v>
      </c>
      <c r="U97" s="67">
        <f t="shared" si="49"/>
        <v>0.29836986742368815</v>
      </c>
      <c r="V97" s="68">
        <v>462</v>
      </c>
      <c r="W97" s="9">
        <f t="shared" si="55"/>
        <v>1.3157894736842105E-2</v>
      </c>
      <c r="X97" s="11">
        <v>91750</v>
      </c>
      <c r="Y97" s="9">
        <f t="shared" si="51"/>
        <v>0.34833276999720786</v>
      </c>
      <c r="Z97" s="64">
        <v>28765</v>
      </c>
      <c r="AA97" s="69"/>
      <c r="AB97" s="5">
        <v>26461</v>
      </c>
      <c r="AC97" s="9">
        <f t="shared" si="56"/>
        <v>-2.9167889638978539E-2</v>
      </c>
      <c r="AD97" s="3">
        <v>29048</v>
      </c>
      <c r="AE97" s="9">
        <f t="shared" si="52"/>
        <v>7.1565589493876258E-2</v>
      </c>
      <c r="AF97" s="5">
        <v>2200</v>
      </c>
      <c r="AG97" s="9">
        <f t="shared" si="41"/>
        <v>0.15789473684210531</v>
      </c>
      <c r="AH97" s="3">
        <v>14420</v>
      </c>
      <c r="AI97" s="9">
        <f t="shared" si="34"/>
        <v>0.28154994667614647</v>
      </c>
      <c r="AJ97" s="426"/>
      <c r="AK97" s="427"/>
      <c r="AL97" s="5">
        <v>1051</v>
      </c>
      <c r="AM97" s="37">
        <f t="shared" si="40"/>
        <v>0.11452810180275708</v>
      </c>
      <c r="AN97" s="38">
        <v>1827</v>
      </c>
      <c r="AO97" s="9">
        <f t="shared" si="53"/>
        <v>5.9744779582366681E-2</v>
      </c>
      <c r="AP97" s="426"/>
      <c r="AQ97" s="427"/>
      <c r="AR97" s="5">
        <v>87</v>
      </c>
      <c r="AS97" s="99" t="str">
        <f t="shared" si="63"/>
        <v>-</v>
      </c>
      <c r="AT97" s="412"/>
      <c r="AU97" s="418"/>
      <c r="AV97" s="412"/>
      <c r="AW97" s="415"/>
      <c r="AX97" s="5">
        <v>3418</v>
      </c>
      <c r="AY97" s="9">
        <f t="shared" si="57"/>
        <v>0.16456558773424201</v>
      </c>
      <c r="AZ97" s="5">
        <v>1208</v>
      </c>
      <c r="BA97" s="9">
        <f t="shared" si="48"/>
        <v>-0.10716925351071693</v>
      </c>
      <c r="BB97" s="5"/>
      <c r="BC97" s="238"/>
    </row>
    <row r="98" spans="1:55" s="157" customFormat="1" ht="13.5" customHeight="1">
      <c r="A98" s="461"/>
      <c r="B98" s="15" t="s">
        <v>27</v>
      </c>
      <c r="C98" s="5">
        <v>1013507</v>
      </c>
      <c r="D98" s="9">
        <f t="shared" si="54"/>
        <v>3.7902604126053798E-4</v>
      </c>
      <c r="E98" s="178"/>
      <c r="F98" s="5">
        <v>122436</v>
      </c>
      <c r="G98" s="9">
        <f t="shared" si="61"/>
        <v>-0.36880525840958889</v>
      </c>
      <c r="H98" s="5">
        <v>336100</v>
      </c>
      <c r="I98" s="9">
        <f t="shared" si="58"/>
        <v>3.4472145275469372E-2</v>
      </c>
      <c r="J98" s="5">
        <v>17996</v>
      </c>
      <c r="K98" s="9">
        <f t="shared" si="62"/>
        <v>2.3951428730574278E-3</v>
      </c>
      <c r="L98" s="53">
        <v>72652</v>
      </c>
      <c r="M98" s="37">
        <f t="shared" si="59"/>
        <v>-2.660843002224068E-2</v>
      </c>
      <c r="N98" s="5">
        <v>74198</v>
      </c>
      <c r="O98" s="9">
        <f t="shared" si="46"/>
        <v>0.25444647325353353</v>
      </c>
      <c r="P98" s="5">
        <v>23449</v>
      </c>
      <c r="Q98" s="9">
        <f t="shared" si="50"/>
        <v>-0.30749239538111695</v>
      </c>
      <c r="R98" s="53">
        <v>26677</v>
      </c>
      <c r="S98" s="37">
        <f t="shared" si="60"/>
        <v>-9.4927905004240878E-2</v>
      </c>
      <c r="T98" s="5">
        <v>30112</v>
      </c>
      <c r="U98" s="67">
        <f t="shared" si="49"/>
        <v>0.17400288510273304</v>
      </c>
      <c r="V98" s="68">
        <v>281</v>
      </c>
      <c r="W98" s="9">
        <f t="shared" si="55"/>
        <v>0.20600858369098712</v>
      </c>
      <c r="X98" s="11">
        <v>71683</v>
      </c>
      <c r="Y98" s="9">
        <f t="shared" si="51"/>
        <v>0.24410774410774416</v>
      </c>
      <c r="Z98" s="64">
        <v>19836</v>
      </c>
      <c r="AA98" s="65">
        <f>Z98/Z86-1</f>
        <v>0.1927124045457278</v>
      </c>
      <c r="AB98" s="5">
        <v>21590</v>
      </c>
      <c r="AC98" s="9">
        <f t="shared" si="56"/>
        <v>0.13901345291479816</v>
      </c>
      <c r="AD98" s="3">
        <v>18150</v>
      </c>
      <c r="AE98" s="9">
        <f t="shared" si="52"/>
        <v>4.961832061068705E-2</v>
      </c>
      <c r="AF98" s="5">
        <v>2300</v>
      </c>
      <c r="AG98" s="9">
        <f t="shared" si="41"/>
        <v>-4.166666666666663E-2</v>
      </c>
      <c r="AH98" s="3">
        <v>12891</v>
      </c>
      <c r="AI98" s="9">
        <f t="shared" ref="AI98:AI120" si="64">(AH98-AH86)/AH86</f>
        <v>0.27975776829147225</v>
      </c>
      <c r="AJ98" s="426"/>
      <c r="AK98" s="427"/>
      <c r="AL98" s="5">
        <v>1893</v>
      </c>
      <c r="AM98" s="37">
        <f t="shared" si="40"/>
        <v>0.52292839903459365</v>
      </c>
      <c r="AN98" s="38">
        <v>1487</v>
      </c>
      <c r="AO98" s="9">
        <f t="shared" si="53"/>
        <v>0.16081186572989847</v>
      </c>
      <c r="AP98" s="426"/>
      <c r="AQ98" s="427"/>
      <c r="AR98" s="5">
        <v>25</v>
      </c>
      <c r="AS98" s="99">
        <f t="shared" si="63"/>
        <v>-0.67532467532467533</v>
      </c>
      <c r="AT98" s="412"/>
      <c r="AU98" s="418"/>
      <c r="AV98" s="412"/>
      <c r="AW98" s="415"/>
      <c r="AX98" s="5">
        <v>2341</v>
      </c>
      <c r="AY98" s="9">
        <f t="shared" si="57"/>
        <v>7.4346030289123455E-2</v>
      </c>
      <c r="AZ98" s="5">
        <v>707</v>
      </c>
      <c r="BA98" s="9">
        <f t="shared" si="48"/>
        <v>-0.29370629370629375</v>
      </c>
      <c r="BB98" s="5"/>
      <c r="BC98" s="238"/>
    </row>
    <row r="99" spans="1:55" s="157" customFormat="1" ht="13.5" customHeight="1">
      <c r="A99" s="461"/>
      <c r="B99" s="15" t="s">
        <v>28</v>
      </c>
      <c r="C99" s="5">
        <v>1032589</v>
      </c>
      <c r="D99" s="9">
        <f t="shared" si="54"/>
        <v>-2.178136969119376E-2</v>
      </c>
      <c r="E99" s="178"/>
      <c r="F99" s="5">
        <v>132259</v>
      </c>
      <c r="G99" s="9">
        <f t="shared" si="61"/>
        <v>-0.31765112547657987</v>
      </c>
      <c r="H99" s="5">
        <v>368300</v>
      </c>
      <c r="I99" s="9">
        <f t="shared" si="58"/>
        <v>-1.2335746849021185E-2</v>
      </c>
      <c r="J99" s="5">
        <v>17859</v>
      </c>
      <c r="K99" s="9">
        <f t="shared" si="62"/>
        <v>4.4202771443606383E-2</v>
      </c>
      <c r="L99" s="53">
        <v>76859</v>
      </c>
      <c r="M99" s="37">
        <f t="shared" si="59"/>
        <v>0.15636566063852195</v>
      </c>
      <c r="N99" s="5">
        <v>74602</v>
      </c>
      <c r="O99" s="9">
        <f t="shared" si="46"/>
        <v>4.0227561108244908E-2</v>
      </c>
      <c r="P99" s="5">
        <v>47888</v>
      </c>
      <c r="Q99" s="9">
        <f t="shared" si="50"/>
        <v>0.22172615251167183</v>
      </c>
      <c r="R99" s="53">
        <v>27391</v>
      </c>
      <c r="S99" s="37">
        <f t="shared" si="60"/>
        <v>0.24896265560165975</v>
      </c>
      <c r="T99" s="5">
        <v>33594</v>
      </c>
      <c r="U99" s="67">
        <f t="shared" si="49"/>
        <v>0.15869347773600526</v>
      </c>
      <c r="V99" s="5">
        <v>547</v>
      </c>
      <c r="W99" s="9">
        <f t="shared" si="55"/>
        <v>1.4419642857142858</v>
      </c>
      <c r="X99" s="11">
        <v>69962</v>
      </c>
      <c r="Y99" s="9">
        <f t="shared" si="51"/>
        <v>0.16620826457301918</v>
      </c>
      <c r="Z99" s="64">
        <v>26237</v>
      </c>
      <c r="AA99" s="450">
        <f>(SUM(Z99:Z101)/Z87-1)</f>
        <v>0.15966703123101222</v>
      </c>
      <c r="AB99" s="5">
        <v>25507</v>
      </c>
      <c r="AC99" s="9">
        <f t="shared" si="56"/>
        <v>1.9464428457234284E-2</v>
      </c>
      <c r="AD99" s="3">
        <v>20263</v>
      </c>
      <c r="AE99" s="9">
        <f t="shared" si="52"/>
        <v>0.35601954092217092</v>
      </c>
      <c r="AF99" s="5">
        <v>2300</v>
      </c>
      <c r="AG99" s="9">
        <f t="shared" si="41"/>
        <v>-0.28125</v>
      </c>
      <c r="AH99" s="3">
        <v>13845</v>
      </c>
      <c r="AI99" s="9">
        <f t="shared" si="64"/>
        <v>0.21596697698928508</v>
      </c>
      <c r="AJ99" s="426">
        <f>43994-AJ96-AJ93-AJ90</f>
        <v>5811</v>
      </c>
      <c r="AK99" s="427">
        <f>(AJ99/AJ87-1)</f>
        <v>6.565193471483588E-2</v>
      </c>
      <c r="AL99" s="5">
        <v>4451</v>
      </c>
      <c r="AM99" s="37">
        <f t="shared" si="40"/>
        <v>8.508044856167718E-2</v>
      </c>
      <c r="AN99" s="38">
        <v>1718</v>
      </c>
      <c r="AO99" s="9">
        <f t="shared" si="53"/>
        <v>3.8066465256797688E-2</v>
      </c>
      <c r="AP99" s="426">
        <f>AP173*0.262</f>
        <v>28474.16</v>
      </c>
      <c r="AQ99" s="427">
        <f>(AP99/AP87-1)</f>
        <v>0.37910819269162976</v>
      </c>
      <c r="AR99" s="5">
        <v>0</v>
      </c>
      <c r="AS99" s="99" t="str">
        <f t="shared" si="63"/>
        <v>-</v>
      </c>
      <c r="AT99" s="412"/>
      <c r="AU99" s="418"/>
      <c r="AV99" s="412"/>
      <c r="AW99" s="415"/>
      <c r="AX99" s="5">
        <v>2751</v>
      </c>
      <c r="AY99" s="9">
        <f t="shared" si="57"/>
        <v>0.27479147358665434</v>
      </c>
      <c r="AZ99" s="5">
        <v>1827</v>
      </c>
      <c r="BA99" s="9">
        <f t="shared" si="48"/>
        <v>0.2939093484419264</v>
      </c>
      <c r="BB99" s="5"/>
      <c r="BC99" s="238"/>
    </row>
    <row r="100" spans="1:55" s="157" customFormat="1" ht="13.5" customHeight="1">
      <c r="A100" s="461"/>
      <c r="B100" s="15" t="s">
        <v>29</v>
      </c>
      <c r="C100" s="5">
        <v>974255</v>
      </c>
      <c r="D100" s="9">
        <f t="shared" si="54"/>
        <v>-3.0497501248878001E-2</v>
      </c>
      <c r="E100" s="178"/>
      <c r="F100" s="5">
        <v>134009</v>
      </c>
      <c r="G100" s="9">
        <f t="shared" si="61"/>
        <v>-0.32059276834783312</v>
      </c>
      <c r="H100" s="5">
        <v>307500</v>
      </c>
      <c r="I100" s="9">
        <f t="shared" si="58"/>
        <v>-3.4839924670433148E-2</v>
      </c>
      <c r="J100" s="5">
        <v>20878</v>
      </c>
      <c r="K100" s="9">
        <f t="shared" si="62"/>
        <v>6.8912553757935702E-2</v>
      </c>
      <c r="L100" s="53">
        <v>81146</v>
      </c>
      <c r="M100" s="37">
        <f t="shared" si="59"/>
        <v>8.4187320462288731E-2</v>
      </c>
      <c r="N100" s="5">
        <v>61784</v>
      </c>
      <c r="O100" s="9">
        <f t="shared" si="46"/>
        <v>-0.20070376982586871</v>
      </c>
      <c r="P100" s="5">
        <v>54729</v>
      </c>
      <c r="Q100" s="9">
        <f t="shared" si="50"/>
        <v>0.19503460925388127</v>
      </c>
      <c r="R100" s="53">
        <v>30381</v>
      </c>
      <c r="S100" s="37">
        <f t="shared" si="60"/>
        <v>0.13226744186046513</v>
      </c>
      <c r="T100" s="5">
        <v>33145</v>
      </c>
      <c r="U100" s="67">
        <f t="shared" si="49"/>
        <v>0.19175176182942616</v>
      </c>
      <c r="V100" s="5">
        <v>473</v>
      </c>
      <c r="W100" s="9">
        <f t="shared" si="55"/>
        <v>3.2751091703056769E-2</v>
      </c>
      <c r="X100" s="11">
        <v>82248</v>
      </c>
      <c r="Y100" s="9">
        <f t="shared" si="51"/>
        <v>0.22042348611873641</v>
      </c>
      <c r="Z100" s="64">
        <v>31304</v>
      </c>
      <c r="AA100" s="450"/>
      <c r="AB100" s="5">
        <v>28643</v>
      </c>
      <c r="AC100" s="9">
        <f t="shared" si="56"/>
        <v>0.24431990963986272</v>
      </c>
      <c r="AD100" s="3">
        <v>24269</v>
      </c>
      <c r="AE100" s="9">
        <f t="shared" si="52"/>
        <v>0.10313636363636358</v>
      </c>
      <c r="AF100" s="5">
        <v>2500</v>
      </c>
      <c r="AG100" s="9">
        <f t="shared" si="41"/>
        <v>8.6956521739130377E-2</v>
      </c>
      <c r="AH100" s="3">
        <v>8273</v>
      </c>
      <c r="AI100" s="9">
        <f t="shared" si="64"/>
        <v>-4.6669739571329798E-2</v>
      </c>
      <c r="AJ100" s="426"/>
      <c r="AK100" s="427"/>
      <c r="AL100" s="5">
        <v>3919</v>
      </c>
      <c r="AM100" s="37">
        <f t="shared" si="40"/>
        <v>5.3873781426372336E-3</v>
      </c>
      <c r="AN100" s="38">
        <v>2148</v>
      </c>
      <c r="AO100" s="9">
        <f t="shared" si="53"/>
        <v>0.10040983606557385</v>
      </c>
      <c r="AP100" s="426"/>
      <c r="AQ100" s="427"/>
      <c r="AR100" s="5">
        <v>0</v>
      </c>
      <c r="AS100" s="99" t="str">
        <f t="shared" si="63"/>
        <v>-</v>
      </c>
      <c r="AT100" s="412"/>
      <c r="AU100" s="418"/>
      <c r="AV100" s="412"/>
      <c r="AW100" s="415"/>
      <c r="AX100" s="5">
        <v>2640</v>
      </c>
      <c r="AY100" s="9">
        <f t="shared" si="57"/>
        <v>0.14533622559652937</v>
      </c>
      <c r="AZ100" s="5">
        <v>1788</v>
      </c>
      <c r="BA100" s="9">
        <f t="shared" si="48"/>
        <v>0.11263223397635347</v>
      </c>
      <c r="BB100" s="5"/>
      <c r="BC100" s="238"/>
    </row>
    <row r="101" spans="1:55" s="157" customFormat="1" ht="13.5" customHeight="1">
      <c r="A101" s="462"/>
      <c r="B101" s="41" t="s">
        <v>30</v>
      </c>
      <c r="C101" s="5">
        <v>1020648</v>
      </c>
      <c r="D101" s="19">
        <f t="shared" si="54"/>
        <v>-7.6363679084575709E-4</v>
      </c>
      <c r="E101" s="178"/>
      <c r="F101" s="5">
        <v>141536</v>
      </c>
      <c r="G101" s="19">
        <f t="shared" si="61"/>
        <v>-0.30108440160388728</v>
      </c>
      <c r="H101" s="5">
        <v>293400</v>
      </c>
      <c r="I101" s="19">
        <f t="shared" si="58"/>
        <v>-4.7489823609226595E-3</v>
      </c>
      <c r="J101" s="5">
        <v>20802</v>
      </c>
      <c r="K101" s="19">
        <f t="shared" si="62"/>
        <v>0.1326980669752246</v>
      </c>
      <c r="L101" s="53">
        <v>98281</v>
      </c>
      <c r="M101" s="45">
        <f t="shared" si="59"/>
        <v>9.7363807907459715E-2</v>
      </c>
      <c r="N101" s="5">
        <v>72295</v>
      </c>
      <c r="O101" s="9">
        <f t="shared" si="46"/>
        <v>-0.11584135409150391</v>
      </c>
      <c r="P101" s="5">
        <v>52928</v>
      </c>
      <c r="Q101" s="19">
        <f t="shared" si="50"/>
        <v>0.16251180566232515</v>
      </c>
      <c r="R101" s="53">
        <v>38505</v>
      </c>
      <c r="S101" s="45">
        <f t="shared" si="60"/>
        <v>0.14004441154700223</v>
      </c>
      <c r="T101" s="5">
        <v>29605</v>
      </c>
      <c r="U101" s="71">
        <f t="shared" si="49"/>
        <v>0.17247524752475246</v>
      </c>
      <c r="V101" s="5">
        <v>400</v>
      </c>
      <c r="W101" s="9">
        <f t="shared" si="55"/>
        <v>-5.6603773584905662E-2</v>
      </c>
      <c r="X101" s="48">
        <v>86093</v>
      </c>
      <c r="Y101" s="19">
        <f t="shared" si="51"/>
        <v>5.9932286857494521E-2</v>
      </c>
      <c r="Z101" s="70">
        <v>37888</v>
      </c>
      <c r="AA101" s="451"/>
      <c r="AB101" s="5">
        <v>24545</v>
      </c>
      <c r="AC101" s="9">
        <f t="shared" si="56"/>
        <v>0.13929632380245072</v>
      </c>
      <c r="AD101" s="5">
        <v>25374</v>
      </c>
      <c r="AE101" s="19">
        <f t="shared" si="52"/>
        <v>0.20011351274653544</v>
      </c>
      <c r="AF101" s="5">
        <v>1400</v>
      </c>
      <c r="AG101" s="19">
        <f t="shared" si="41"/>
        <v>0</v>
      </c>
      <c r="AH101" s="3">
        <v>8808</v>
      </c>
      <c r="AI101" s="19">
        <f t="shared" si="64"/>
        <v>0.18006430868167203</v>
      </c>
      <c r="AJ101" s="433"/>
      <c r="AK101" s="427"/>
      <c r="AL101" s="5">
        <v>2446</v>
      </c>
      <c r="AM101" s="37">
        <f t="shared" si="40"/>
        <v>0.47527141133896267</v>
      </c>
      <c r="AN101" s="46">
        <v>2358</v>
      </c>
      <c r="AO101" s="19">
        <f t="shared" si="53"/>
        <v>0.11806543385490764</v>
      </c>
      <c r="AP101" s="433"/>
      <c r="AQ101" s="427"/>
      <c r="AR101" s="5">
        <v>0</v>
      </c>
      <c r="AS101" s="265" t="str">
        <f t="shared" si="63"/>
        <v>-</v>
      </c>
      <c r="AT101" s="413"/>
      <c r="AU101" s="419"/>
      <c r="AV101" s="413"/>
      <c r="AW101" s="416"/>
      <c r="AX101" s="5">
        <v>3450</v>
      </c>
      <c r="AY101" s="19">
        <f t="shared" si="57"/>
        <v>0.49674620390455537</v>
      </c>
      <c r="AZ101" s="5">
        <v>1711</v>
      </c>
      <c r="BA101" s="19">
        <f t="shared" si="48"/>
        <v>0.17756366139022717</v>
      </c>
      <c r="BB101" s="5"/>
      <c r="BC101" s="241"/>
    </row>
    <row r="102" spans="1:55" s="157" customFormat="1" ht="13.5" customHeight="1">
      <c r="A102" s="457" t="s">
        <v>152</v>
      </c>
      <c r="B102" s="2" t="s">
        <v>132</v>
      </c>
      <c r="C102" s="25">
        <v>1200782</v>
      </c>
      <c r="D102" s="9">
        <f t="shared" si="54"/>
        <v>-5.3016268837632601E-2</v>
      </c>
      <c r="E102" s="178"/>
      <c r="F102" s="25">
        <v>173000</v>
      </c>
      <c r="G102" s="24">
        <f t="shared" si="61"/>
        <v>-0.35536278542896321</v>
      </c>
      <c r="H102" s="25">
        <v>297800</v>
      </c>
      <c r="I102" s="24">
        <f t="shared" si="58"/>
        <v>-7.858910891089109E-2</v>
      </c>
      <c r="J102" s="25">
        <v>25760</v>
      </c>
      <c r="K102" s="9">
        <f t="shared" si="62"/>
        <v>5.9384767231452543E-2</v>
      </c>
      <c r="L102" s="56">
        <v>110448</v>
      </c>
      <c r="M102" s="37">
        <f t="shared" si="59"/>
        <v>7.7058100754783213E-2</v>
      </c>
      <c r="N102" s="23">
        <v>100202</v>
      </c>
      <c r="O102" s="24">
        <f t="shared" si="46"/>
        <v>-0.1395276942893946</v>
      </c>
      <c r="P102" s="25">
        <v>60624</v>
      </c>
      <c r="Q102" s="24">
        <f t="shared" si="50"/>
        <v>0.17048306753678033</v>
      </c>
      <c r="R102" s="56">
        <v>46176</v>
      </c>
      <c r="S102" s="37">
        <f t="shared" si="60"/>
        <v>9.6114131079830037E-2</v>
      </c>
      <c r="T102" s="25">
        <v>45933</v>
      </c>
      <c r="U102" s="72">
        <f t="shared" si="49"/>
        <v>0.11840759678597516</v>
      </c>
      <c r="V102" s="25">
        <v>897</v>
      </c>
      <c r="W102" s="28">
        <f t="shared" ref="W102:W113" si="65">(V102-V90)/V90</f>
        <v>0.23383768913342504</v>
      </c>
      <c r="X102" s="25">
        <v>102166</v>
      </c>
      <c r="Y102" s="9">
        <f t="shared" si="51"/>
        <v>0.10750252035252417</v>
      </c>
      <c r="Z102" s="411">
        <v>256315</v>
      </c>
      <c r="AA102" s="421">
        <f>Z102/Z90-1</f>
        <v>0.28944058758426405</v>
      </c>
      <c r="AB102" s="25">
        <v>29758</v>
      </c>
      <c r="AC102" s="24">
        <f t="shared" si="56"/>
        <v>8.4791484397783501E-2</v>
      </c>
      <c r="AD102" s="25">
        <v>29740</v>
      </c>
      <c r="AE102" s="24">
        <f t="shared" ref="AE102:AE121" si="66">(AD102-AD90)/AD90</f>
        <v>6.2332559385604572E-2</v>
      </c>
      <c r="AF102" s="25">
        <v>4200</v>
      </c>
      <c r="AG102" s="24">
        <f>(AF102/AF90-1)</f>
        <v>-0.32258064516129037</v>
      </c>
      <c r="AH102" s="23">
        <v>12578</v>
      </c>
      <c r="AI102" s="9">
        <f t="shared" si="64"/>
        <v>-4.2114081181935874E-2</v>
      </c>
      <c r="AJ102" s="426">
        <v>5078</v>
      </c>
      <c r="AK102" s="452">
        <f>(AJ102/AJ90-1)</f>
        <v>-1.6082154621197442E-2</v>
      </c>
      <c r="AL102" s="25">
        <v>930</v>
      </c>
      <c r="AM102" s="28">
        <f t="shared" si="40"/>
        <v>-0.19410745233968807</v>
      </c>
      <c r="AN102" s="29">
        <v>3853</v>
      </c>
      <c r="AO102" s="9">
        <f t="shared" si="53"/>
        <v>0.47737730061349692</v>
      </c>
      <c r="AP102" s="440">
        <v>109469</v>
      </c>
      <c r="AQ102" s="414">
        <f>AP102/SUM(AP90:AP101)-1</f>
        <v>7.2598454177401628E-3</v>
      </c>
      <c r="AR102" s="25">
        <v>0</v>
      </c>
      <c r="AS102" s="138" t="str">
        <f t="shared" si="63"/>
        <v>-</v>
      </c>
      <c r="AT102" s="411">
        <v>630</v>
      </c>
      <c r="AU102" s="417">
        <f>AT102/AT90-1</f>
        <v>0.54791154791154795</v>
      </c>
      <c r="AV102" s="411">
        <v>18225</v>
      </c>
      <c r="AW102" s="414">
        <f>AV102/AV90-1</f>
        <v>2.0493868637661672E-2</v>
      </c>
      <c r="AX102" s="411">
        <v>53829</v>
      </c>
      <c r="AY102" s="421">
        <f>(AX102/AX173-1)</f>
        <v>0.55095513873282043</v>
      </c>
      <c r="AZ102" s="25">
        <v>2936</v>
      </c>
      <c r="BA102" s="24">
        <f t="shared" si="48"/>
        <v>7.9411764705882293E-2</v>
      </c>
      <c r="BB102" s="25"/>
      <c r="BC102" s="237"/>
    </row>
    <row r="103" spans="1:55" s="157" customFormat="1" ht="13.5" customHeight="1">
      <c r="A103" s="461"/>
      <c r="B103" s="15" t="s">
        <v>153</v>
      </c>
      <c r="C103" s="5">
        <v>1150334</v>
      </c>
      <c r="D103" s="9">
        <f t="shared" si="54"/>
        <v>5.3778393372101121E-2</v>
      </c>
      <c r="E103" s="178"/>
      <c r="F103" s="5">
        <v>169025</v>
      </c>
      <c r="G103" s="9">
        <f t="shared" si="61"/>
        <v>-0.27031169055430843</v>
      </c>
      <c r="H103" s="5">
        <v>336000</v>
      </c>
      <c r="I103" s="9">
        <f t="shared" si="58"/>
        <v>4.738154613466334E-2</v>
      </c>
      <c r="J103" s="5">
        <v>23284</v>
      </c>
      <c r="K103" s="9">
        <f t="shared" si="62"/>
        <v>4.0534713238464855E-3</v>
      </c>
      <c r="L103" s="53">
        <v>110751</v>
      </c>
      <c r="M103" s="37">
        <f t="shared" si="59"/>
        <v>0.22245769727474421</v>
      </c>
      <c r="N103" s="3">
        <v>102945</v>
      </c>
      <c r="O103" s="9">
        <f t="shared" si="46"/>
        <v>6.1748385899049074E-2</v>
      </c>
      <c r="P103" s="5">
        <v>81220</v>
      </c>
      <c r="Q103" s="9">
        <f t="shared" si="50"/>
        <v>0.60140384084545917</v>
      </c>
      <c r="R103" s="53">
        <v>45441</v>
      </c>
      <c r="S103" s="37">
        <f t="shared" si="60"/>
        <v>0.1553188243669277</v>
      </c>
      <c r="T103" s="5">
        <v>45397</v>
      </c>
      <c r="U103" s="72">
        <f t="shared" si="49"/>
        <v>0.23327900027166532</v>
      </c>
      <c r="V103" s="5">
        <v>645</v>
      </c>
      <c r="W103" s="9">
        <f t="shared" si="65"/>
        <v>0.59259259259259256</v>
      </c>
      <c r="X103" s="11">
        <v>89758</v>
      </c>
      <c r="Y103" s="9">
        <f t="shared" si="51"/>
        <v>0.21922329833331067</v>
      </c>
      <c r="Z103" s="412"/>
      <c r="AA103" s="422"/>
      <c r="AB103" s="3">
        <v>30175</v>
      </c>
      <c r="AC103" s="9">
        <f t="shared" si="56"/>
        <v>0.22012858355909581</v>
      </c>
      <c r="AD103" s="5">
        <v>27922</v>
      </c>
      <c r="AE103" s="9">
        <f t="shared" si="66"/>
        <v>0.5389109347442681</v>
      </c>
      <c r="AF103" s="3">
        <v>5500</v>
      </c>
      <c r="AG103" s="9">
        <f t="shared" si="41"/>
        <v>0.34146341463414642</v>
      </c>
      <c r="AH103" s="3">
        <v>10718</v>
      </c>
      <c r="AI103" s="9">
        <f t="shared" si="64"/>
        <v>0.12253875157100963</v>
      </c>
      <c r="AJ103" s="426"/>
      <c r="AK103" s="427"/>
      <c r="AL103" s="3">
        <v>1600</v>
      </c>
      <c r="AM103" s="37">
        <f t="shared" si="40"/>
        <v>0.39494333042720142</v>
      </c>
      <c r="AN103" s="38">
        <v>2639</v>
      </c>
      <c r="AO103" s="9">
        <f t="shared" si="53"/>
        <v>0.42880346507850575</v>
      </c>
      <c r="AP103" s="426"/>
      <c r="AQ103" s="415"/>
      <c r="AR103" s="3">
        <v>0</v>
      </c>
      <c r="AS103" s="99">
        <f t="shared" si="63"/>
        <v>-1</v>
      </c>
      <c r="AT103" s="412"/>
      <c r="AU103" s="418"/>
      <c r="AV103" s="412"/>
      <c r="AW103" s="415"/>
      <c r="AX103" s="412"/>
      <c r="AY103" s="422"/>
      <c r="AZ103" s="3">
        <v>2173</v>
      </c>
      <c r="BA103" s="9">
        <f t="shared" si="48"/>
        <v>0.31537530266343827</v>
      </c>
      <c r="BB103" s="3"/>
      <c r="BC103" s="238"/>
    </row>
    <row r="104" spans="1:55" s="157" customFormat="1" ht="13.5" customHeight="1">
      <c r="A104" s="461"/>
      <c r="B104" s="15" t="s">
        <v>21</v>
      </c>
      <c r="C104" s="5">
        <v>1018952</v>
      </c>
      <c r="D104" s="9">
        <f t="shared" si="54"/>
        <v>0.17296999864163906</v>
      </c>
      <c r="E104" s="178"/>
      <c r="F104" s="61">
        <v>150291</v>
      </c>
      <c r="G104" s="9">
        <f t="shared" si="61"/>
        <v>0.68637021577405999</v>
      </c>
      <c r="H104" s="5">
        <v>320400</v>
      </c>
      <c r="I104" s="9">
        <f t="shared" si="58"/>
        <v>3.756476683937824E-2</v>
      </c>
      <c r="J104" s="5">
        <v>21571</v>
      </c>
      <c r="K104" s="9">
        <f t="shared" si="62"/>
        <v>0.10444933695151298</v>
      </c>
      <c r="L104" s="53">
        <v>82981</v>
      </c>
      <c r="M104" s="37">
        <f t="shared" si="59"/>
        <v>0.24986444149897577</v>
      </c>
      <c r="N104" s="3">
        <v>89463</v>
      </c>
      <c r="O104" s="9">
        <f t="shared" si="46"/>
        <v>0.18659062272033955</v>
      </c>
      <c r="P104" s="5">
        <v>64484</v>
      </c>
      <c r="Q104" s="9">
        <f t="shared" si="50"/>
        <v>0.55525541459649808</v>
      </c>
      <c r="R104" s="53">
        <v>33965</v>
      </c>
      <c r="S104" s="37">
        <f t="shared" si="60"/>
        <v>0.36017780625525608</v>
      </c>
      <c r="T104" s="5">
        <v>34077</v>
      </c>
      <c r="U104" s="72">
        <f t="shared" si="49"/>
        <v>0.1505114959991897</v>
      </c>
      <c r="V104" s="5">
        <v>645</v>
      </c>
      <c r="W104" s="9">
        <f t="shared" si="65"/>
        <v>0.36942675159235666</v>
      </c>
      <c r="X104" s="11">
        <v>73107</v>
      </c>
      <c r="Y104" s="9">
        <f t="shared" si="51"/>
        <v>0.16915080761234602</v>
      </c>
      <c r="Z104" s="412"/>
      <c r="AA104" s="422"/>
      <c r="AB104" s="3">
        <v>23263</v>
      </c>
      <c r="AC104" s="9">
        <f t="shared" si="56"/>
        <v>2.765384105667712E-2</v>
      </c>
      <c r="AD104" s="5">
        <v>19315</v>
      </c>
      <c r="AE104" s="9">
        <f t="shared" si="66"/>
        <v>0.17025143895789155</v>
      </c>
      <c r="AF104" s="3">
        <v>3400</v>
      </c>
      <c r="AG104" s="9">
        <f t="shared" si="41"/>
        <v>0.47826086956521729</v>
      </c>
      <c r="AH104" s="3">
        <v>11971</v>
      </c>
      <c r="AI104" s="9">
        <f t="shared" si="64"/>
        <v>5.7789166740302197E-2</v>
      </c>
      <c r="AJ104" s="426"/>
      <c r="AK104" s="427"/>
      <c r="AL104" s="3">
        <v>1799</v>
      </c>
      <c r="AM104" s="37">
        <f t="shared" si="40"/>
        <v>0.43118536197295154</v>
      </c>
      <c r="AN104" s="38">
        <v>2310</v>
      </c>
      <c r="AO104" s="9">
        <f t="shared" si="53"/>
        <v>0.13513513513513509</v>
      </c>
      <c r="AP104" s="426"/>
      <c r="AQ104" s="415"/>
      <c r="AR104" s="68">
        <v>0</v>
      </c>
      <c r="AS104" s="99" t="str">
        <f t="shared" si="63"/>
        <v>-</v>
      </c>
      <c r="AT104" s="412"/>
      <c r="AU104" s="418"/>
      <c r="AV104" s="412"/>
      <c r="AW104" s="415"/>
      <c r="AX104" s="412"/>
      <c r="AY104" s="422"/>
      <c r="AZ104" s="3">
        <v>1853</v>
      </c>
      <c r="BA104" s="9">
        <f t="shared" si="48"/>
        <v>0.2478114478114477</v>
      </c>
      <c r="BB104" s="3"/>
      <c r="BC104" s="238"/>
    </row>
    <row r="105" spans="1:55" s="157" customFormat="1" ht="13.5" customHeight="1">
      <c r="A105" s="461"/>
      <c r="B105" s="73" t="s">
        <v>22</v>
      </c>
      <c r="C105" s="68">
        <v>1018645</v>
      </c>
      <c r="D105" s="74">
        <f t="shared" si="54"/>
        <v>0.17424814435259547</v>
      </c>
      <c r="E105" s="178"/>
      <c r="F105" s="68">
        <v>152323</v>
      </c>
      <c r="G105" s="74">
        <f t="shared" si="61"/>
        <v>1.3878821131838845</v>
      </c>
      <c r="H105" s="68">
        <v>340900</v>
      </c>
      <c r="I105" s="74">
        <f t="shared" si="58"/>
        <v>-2.2649082568807339E-2</v>
      </c>
      <c r="J105" s="68">
        <v>19862</v>
      </c>
      <c r="K105" s="74">
        <f t="shared" si="62"/>
        <v>6.4644082332761574E-2</v>
      </c>
      <c r="L105" s="75">
        <v>73401</v>
      </c>
      <c r="M105" s="76">
        <f t="shared" si="59"/>
        <v>-1.3321324873642328E-2</v>
      </c>
      <c r="N105" s="77">
        <v>78638</v>
      </c>
      <c r="O105" s="74">
        <f t="shared" si="46"/>
        <v>0.12568352944544647</v>
      </c>
      <c r="P105" s="68">
        <v>68272</v>
      </c>
      <c r="Q105" s="74">
        <f t="shared" si="50"/>
        <v>0.55811671269142105</v>
      </c>
      <c r="R105" s="75">
        <v>28119</v>
      </c>
      <c r="S105" s="76">
        <f t="shared" si="60"/>
        <v>8.7144790257104199E-2</v>
      </c>
      <c r="T105" s="68">
        <v>31252</v>
      </c>
      <c r="U105" s="79">
        <f t="shared" si="49"/>
        <v>0.11598343093843737</v>
      </c>
      <c r="V105" s="68">
        <v>421</v>
      </c>
      <c r="W105" s="9">
        <f t="shared" si="65"/>
        <v>0.33650793650793653</v>
      </c>
      <c r="X105" s="78">
        <v>65312</v>
      </c>
      <c r="Y105" s="74">
        <f t="shared" si="51"/>
        <v>0.13349531412703919</v>
      </c>
      <c r="Z105" s="412"/>
      <c r="AA105" s="422"/>
      <c r="AB105" s="68">
        <v>23085</v>
      </c>
      <c r="AC105" s="9">
        <f t="shared" si="56"/>
        <v>3.8041278834479941E-2</v>
      </c>
      <c r="AD105" s="68">
        <v>18116</v>
      </c>
      <c r="AE105" s="74">
        <f t="shared" si="66"/>
        <v>0.14694523583412472</v>
      </c>
      <c r="AF105" s="75">
        <v>2900</v>
      </c>
      <c r="AG105" s="9">
        <f t="shared" si="41"/>
        <v>0.8125</v>
      </c>
      <c r="AH105" s="77">
        <v>14514</v>
      </c>
      <c r="AI105" s="74">
        <f t="shared" si="64"/>
        <v>0.11431861804222648</v>
      </c>
      <c r="AJ105" s="426">
        <f>15366-AJ102</f>
        <v>10288</v>
      </c>
      <c r="AK105" s="438">
        <f>(AJ105/AJ93-1)</f>
        <v>-6.8031524594619031E-2</v>
      </c>
      <c r="AL105" s="68">
        <v>2225</v>
      </c>
      <c r="AM105" s="37">
        <f t="shared" si="40"/>
        <v>0.19431025228126675</v>
      </c>
      <c r="AN105" s="38">
        <v>1867</v>
      </c>
      <c r="AO105" s="9">
        <f t="shared" si="53"/>
        <v>0.53915910964550706</v>
      </c>
      <c r="AP105" s="426"/>
      <c r="AQ105" s="415"/>
      <c r="AR105" s="75">
        <v>0</v>
      </c>
      <c r="AS105" s="99">
        <f t="shared" si="63"/>
        <v>-1</v>
      </c>
      <c r="AT105" s="412"/>
      <c r="AU105" s="418"/>
      <c r="AV105" s="412"/>
      <c r="AW105" s="415"/>
      <c r="AX105" s="412"/>
      <c r="AY105" s="422"/>
      <c r="AZ105" s="68">
        <v>1360</v>
      </c>
      <c r="BA105" s="9">
        <f t="shared" si="48"/>
        <v>3.8167938931297662E-2</v>
      </c>
      <c r="BB105" s="68"/>
      <c r="BC105" s="238"/>
    </row>
    <row r="106" spans="1:55" s="157" customFormat="1" ht="13.5" customHeight="1">
      <c r="A106" s="461"/>
      <c r="B106" s="15" t="s">
        <v>23</v>
      </c>
      <c r="C106" s="5">
        <v>1096950</v>
      </c>
      <c r="D106" s="9">
        <f t="shared" si="54"/>
        <v>8.1368560413008953E-2</v>
      </c>
      <c r="E106" s="178"/>
      <c r="F106" s="5">
        <v>157141</v>
      </c>
      <c r="G106" s="9">
        <f t="shared" si="61"/>
        <v>0.8704144547337348</v>
      </c>
      <c r="H106" s="5">
        <v>368700</v>
      </c>
      <c r="I106" s="9">
        <f t="shared" si="58"/>
        <v>-4.2088854247856584E-2</v>
      </c>
      <c r="J106" s="5">
        <v>20535</v>
      </c>
      <c r="K106" s="9">
        <f t="shared" si="62"/>
        <v>5.9765835496987212E-3</v>
      </c>
      <c r="L106" s="53">
        <v>78574</v>
      </c>
      <c r="M106" s="37">
        <f t="shared" si="59"/>
        <v>-6.2664773879537616E-2</v>
      </c>
      <c r="N106" s="3">
        <v>73476</v>
      </c>
      <c r="O106" s="9">
        <f t="shared" si="46"/>
        <v>-7.8162246254987078E-2</v>
      </c>
      <c r="P106" s="5">
        <v>48409</v>
      </c>
      <c r="Q106" s="74">
        <f t="shared" si="50"/>
        <v>0.25776865516524627</v>
      </c>
      <c r="R106" s="53">
        <v>31292</v>
      </c>
      <c r="S106" s="37">
        <f t="shared" si="60"/>
        <v>-2.1360437842064112E-2</v>
      </c>
      <c r="T106" s="5">
        <v>33018</v>
      </c>
      <c r="U106" s="79">
        <f t="shared" si="49"/>
        <v>-2.1282902537348825E-2</v>
      </c>
      <c r="V106" s="5">
        <v>493</v>
      </c>
      <c r="W106" s="9">
        <f t="shared" si="65"/>
        <v>0.50304878048780488</v>
      </c>
      <c r="X106" s="11">
        <v>66827</v>
      </c>
      <c r="Y106" s="74">
        <f t="shared" si="51"/>
        <v>-6.8659067603917823E-3</v>
      </c>
      <c r="Z106" s="412"/>
      <c r="AA106" s="422"/>
      <c r="AB106" s="5">
        <v>25106</v>
      </c>
      <c r="AC106" s="9">
        <f t="shared" si="56"/>
        <v>3.2446436649257615E-2</v>
      </c>
      <c r="AD106" s="5">
        <v>19899</v>
      </c>
      <c r="AE106" s="9">
        <f t="shared" si="66"/>
        <v>1.5306903413439462E-2</v>
      </c>
      <c r="AF106" s="53">
        <v>2800</v>
      </c>
      <c r="AG106" s="9">
        <f t="shared" si="41"/>
        <v>0.21739130434782616</v>
      </c>
      <c r="AH106" s="3">
        <v>15768</v>
      </c>
      <c r="AI106" s="9">
        <f t="shared" si="64"/>
        <v>3.02515517804639E-2</v>
      </c>
      <c r="AJ106" s="426"/>
      <c r="AK106" s="438"/>
      <c r="AL106" s="5">
        <v>1742</v>
      </c>
      <c r="AM106" s="37">
        <f t="shared" si="40"/>
        <v>-0.42527218739689876</v>
      </c>
      <c r="AN106" s="38">
        <v>1986</v>
      </c>
      <c r="AO106" s="9">
        <f t="shared" si="53"/>
        <v>0.28046421663442933</v>
      </c>
      <c r="AP106" s="426"/>
      <c r="AQ106" s="415"/>
      <c r="AR106" s="53">
        <v>0</v>
      </c>
      <c r="AS106" s="99">
        <f t="shared" si="63"/>
        <v>-1</v>
      </c>
      <c r="AT106" s="412"/>
      <c r="AU106" s="418"/>
      <c r="AV106" s="412"/>
      <c r="AW106" s="415"/>
      <c r="AX106" s="412"/>
      <c r="AY106" s="422"/>
      <c r="AZ106" s="5">
        <v>569</v>
      </c>
      <c r="BA106" s="9">
        <f t="shared" si="48"/>
        <v>-0.30694275274056027</v>
      </c>
      <c r="BB106" s="5"/>
      <c r="BC106" s="238"/>
    </row>
    <row r="107" spans="1:55" s="157" customFormat="1" ht="13.5" customHeight="1">
      <c r="A107" s="461"/>
      <c r="B107" s="73" t="s">
        <v>24</v>
      </c>
      <c r="C107" s="68">
        <v>1109273</v>
      </c>
      <c r="D107" s="74">
        <f t="shared" si="54"/>
        <v>5.278278150974984E-2</v>
      </c>
      <c r="E107" s="178"/>
      <c r="F107" s="68">
        <v>152131</v>
      </c>
      <c r="G107" s="74">
        <f t="shared" si="61"/>
        <v>0.465376576090621</v>
      </c>
      <c r="H107" s="77">
        <v>347200</v>
      </c>
      <c r="I107" s="74">
        <f t="shared" si="58"/>
        <v>-8.1238422863191315E-2</v>
      </c>
      <c r="J107" s="68">
        <v>19831</v>
      </c>
      <c r="K107" s="74">
        <f t="shared" si="62"/>
        <v>-1.6368235702594117E-2</v>
      </c>
      <c r="L107" s="75">
        <v>75664</v>
      </c>
      <c r="M107" s="76">
        <f t="shared" si="59"/>
        <v>-5.2648712266336127E-2</v>
      </c>
      <c r="N107" s="77">
        <v>89031</v>
      </c>
      <c r="O107" s="74">
        <f t="shared" si="46"/>
        <v>0.15635187614458457</v>
      </c>
      <c r="P107" s="68">
        <v>46923</v>
      </c>
      <c r="Q107" s="74">
        <f t="shared" si="50"/>
        <v>0.19072753571700463</v>
      </c>
      <c r="R107" s="75">
        <v>29792</v>
      </c>
      <c r="S107" s="76">
        <f t="shared" si="60"/>
        <v>-4.2488911743909494E-2</v>
      </c>
      <c r="T107" s="68">
        <v>34394</v>
      </c>
      <c r="U107" s="79">
        <f t="shared" si="49"/>
        <v>4.703064294686414E-3</v>
      </c>
      <c r="V107" s="68">
        <v>433</v>
      </c>
      <c r="W107" s="9">
        <f t="shared" si="65"/>
        <v>0.17344173441734417</v>
      </c>
      <c r="X107" s="78">
        <v>77515</v>
      </c>
      <c r="Y107" s="74">
        <f>(X107/X95-1)</f>
        <v>1.6430201148671664E-2</v>
      </c>
      <c r="Z107" s="412"/>
      <c r="AA107" s="422"/>
      <c r="AB107" s="68">
        <v>23272</v>
      </c>
      <c r="AC107" s="9">
        <f t="shared" si="56"/>
        <v>-8.6476938174681051E-2</v>
      </c>
      <c r="AD107" s="68">
        <v>23261</v>
      </c>
      <c r="AE107" s="9">
        <f t="shared" si="66"/>
        <v>0.21874672534842293</v>
      </c>
      <c r="AF107" s="75">
        <v>2300</v>
      </c>
      <c r="AG107" s="9">
        <f t="shared" si="41"/>
        <v>9.5238095238095344E-2</v>
      </c>
      <c r="AH107" s="77">
        <v>13343</v>
      </c>
      <c r="AI107" s="74">
        <f t="shared" si="64"/>
        <v>-2.4491884778476386E-2</v>
      </c>
      <c r="AJ107" s="426"/>
      <c r="AK107" s="438"/>
      <c r="AL107" s="68">
        <v>2358</v>
      </c>
      <c r="AM107" s="37">
        <f t="shared" si="40"/>
        <v>0.26163723916532899</v>
      </c>
      <c r="AN107" s="38">
        <v>2300</v>
      </c>
      <c r="AO107" s="9">
        <f t="shared" ref="AO107:AO113" si="67">(AN107/AN95-1)</f>
        <v>0.30756111426947119</v>
      </c>
      <c r="AP107" s="426"/>
      <c r="AQ107" s="415"/>
      <c r="AR107" s="75">
        <v>0</v>
      </c>
      <c r="AS107" s="99" t="str">
        <f t="shared" si="63"/>
        <v>-</v>
      </c>
      <c r="AT107" s="412"/>
      <c r="AU107" s="418"/>
      <c r="AV107" s="412"/>
      <c r="AW107" s="415"/>
      <c r="AX107" s="412"/>
      <c r="AY107" s="422"/>
      <c r="AZ107" s="68">
        <v>1109</v>
      </c>
      <c r="BA107" s="9">
        <f t="shared" si="48"/>
        <v>0.63569321533923295</v>
      </c>
      <c r="BB107" s="68"/>
      <c r="BC107" s="238"/>
    </row>
    <row r="108" spans="1:55" s="157" customFormat="1" ht="13.5" customHeight="1">
      <c r="A108" s="461"/>
      <c r="B108" s="15" t="s">
        <v>25</v>
      </c>
      <c r="C108" s="5">
        <v>1305418</v>
      </c>
      <c r="D108" s="74">
        <f t="shared" si="54"/>
        <v>5.137524977267767E-2</v>
      </c>
      <c r="E108" s="178"/>
      <c r="F108" s="5">
        <v>189701</v>
      </c>
      <c r="G108" s="9">
        <f t="shared" si="61"/>
        <v>0.35449436998850437</v>
      </c>
      <c r="H108" s="5">
        <v>369300</v>
      </c>
      <c r="I108" s="9">
        <f t="shared" si="58"/>
        <v>-6.6009104704097113E-2</v>
      </c>
      <c r="J108" s="5">
        <v>18976</v>
      </c>
      <c r="K108" s="9">
        <f t="shared" si="62"/>
        <v>6.8949977467327631E-2</v>
      </c>
      <c r="L108" s="53">
        <v>88247</v>
      </c>
      <c r="M108" s="37">
        <f t="shared" si="59"/>
        <v>-1.5144413195839472E-2</v>
      </c>
      <c r="N108" s="3">
        <v>104928</v>
      </c>
      <c r="O108" s="74">
        <f t="shared" si="46"/>
        <v>9.5213243429430314E-2</v>
      </c>
      <c r="P108" s="5">
        <v>51075</v>
      </c>
      <c r="Q108" s="74">
        <f t="shared" si="50"/>
        <v>0.31136386977508468</v>
      </c>
      <c r="R108" s="53">
        <v>36030</v>
      </c>
      <c r="S108" s="76">
        <f t="shared" si="60"/>
        <v>1.9611172425503014E-2</v>
      </c>
      <c r="T108" s="5">
        <v>42524</v>
      </c>
      <c r="U108" s="79">
        <f t="shared" si="49"/>
        <v>4.7724640894867817E-2</v>
      </c>
      <c r="V108" s="5">
        <v>897</v>
      </c>
      <c r="W108" s="9">
        <f t="shared" si="65"/>
        <v>0.26874115983026875</v>
      </c>
      <c r="X108" s="11">
        <v>103377</v>
      </c>
      <c r="Y108" s="74">
        <f t="shared" si="51"/>
        <v>0.10093824215380365</v>
      </c>
      <c r="Z108" s="412"/>
      <c r="AA108" s="422"/>
      <c r="AB108" s="5">
        <v>28279</v>
      </c>
      <c r="AC108" s="9">
        <f t="shared" si="56"/>
        <v>-1.1465725172160712E-2</v>
      </c>
      <c r="AD108" s="5">
        <v>32326</v>
      </c>
      <c r="AE108" s="9">
        <f t="shared" si="66"/>
        <v>0.10705479452054795</v>
      </c>
      <c r="AF108" s="5">
        <v>1900</v>
      </c>
      <c r="AG108" s="9">
        <f t="shared" si="41"/>
        <v>-0.24</v>
      </c>
      <c r="AH108" s="3">
        <v>15958</v>
      </c>
      <c r="AI108" s="74">
        <f t="shared" si="64"/>
        <v>1.6303655585275762E-2</v>
      </c>
      <c r="AJ108" s="426">
        <f>38738-AJ105-AJ102</f>
        <v>23372</v>
      </c>
      <c r="AK108" s="427">
        <f>(AJ108/AJ96-1)</f>
        <v>6.3185188554792271E-2</v>
      </c>
      <c r="AL108" s="5">
        <v>1518</v>
      </c>
      <c r="AM108" s="37">
        <f t="shared" si="40"/>
        <v>0.26079734219269102</v>
      </c>
      <c r="AN108" s="38">
        <v>2851</v>
      </c>
      <c r="AO108" s="9">
        <f t="shared" si="67"/>
        <v>0.44500760263558026</v>
      </c>
      <c r="AP108" s="426"/>
      <c r="AQ108" s="415"/>
      <c r="AR108" s="5">
        <v>81</v>
      </c>
      <c r="AS108" s="99">
        <f t="shared" si="63"/>
        <v>0.15714285714285725</v>
      </c>
      <c r="AT108" s="412"/>
      <c r="AU108" s="418"/>
      <c r="AV108" s="412"/>
      <c r="AW108" s="415"/>
      <c r="AX108" s="412"/>
      <c r="AY108" s="422"/>
      <c r="AZ108" s="5">
        <v>1444</v>
      </c>
      <c r="BA108" s="9">
        <f t="shared" si="48"/>
        <v>-9.0680100755667459E-2</v>
      </c>
      <c r="BB108" s="5"/>
      <c r="BC108" s="238"/>
    </row>
    <row r="109" spans="1:55" s="157" customFormat="1" ht="13.5" customHeight="1">
      <c r="A109" s="461"/>
      <c r="B109" s="73" t="s">
        <v>26</v>
      </c>
      <c r="C109" s="68">
        <v>1334651</v>
      </c>
      <c r="D109" s="74">
        <f t="shared" si="54"/>
        <v>7.0098987990911008E-2</v>
      </c>
      <c r="E109" s="178"/>
      <c r="F109" s="68">
        <v>201764</v>
      </c>
      <c r="G109" s="74">
        <f t="shared" si="61"/>
        <v>0.37226416377610011</v>
      </c>
      <c r="H109" s="68">
        <v>403400</v>
      </c>
      <c r="I109" s="74">
        <f t="shared" si="58"/>
        <v>-4.0209374256483466E-2</v>
      </c>
      <c r="J109" s="68">
        <v>21566</v>
      </c>
      <c r="K109" s="74">
        <f t="shared" si="62"/>
        <v>1.0211729436012741E-2</v>
      </c>
      <c r="L109" s="75">
        <v>109102</v>
      </c>
      <c r="M109" s="76">
        <f t="shared" si="59"/>
        <v>4.0741765317511044E-2</v>
      </c>
      <c r="N109" s="68">
        <v>120549</v>
      </c>
      <c r="O109" s="74">
        <f t="shared" si="46"/>
        <v>7.4048005131951741E-2</v>
      </c>
      <c r="P109" s="68">
        <v>59255</v>
      </c>
      <c r="Q109" s="74">
        <f t="shared" si="50"/>
        <v>0.1379436165309571</v>
      </c>
      <c r="R109" s="75">
        <v>48035</v>
      </c>
      <c r="S109" s="76">
        <f t="shared" si="60"/>
        <v>6.4322431977310995E-2</v>
      </c>
      <c r="T109" s="68">
        <v>47383</v>
      </c>
      <c r="U109" s="79">
        <f t="shared" si="49"/>
        <v>6.8050671715805602E-2</v>
      </c>
      <c r="V109" s="68">
        <v>708</v>
      </c>
      <c r="W109" s="9">
        <f t="shared" si="65"/>
        <v>0.53246753246753242</v>
      </c>
      <c r="X109" s="78">
        <v>101061</v>
      </c>
      <c r="Y109" s="74">
        <f t="shared" si="51"/>
        <v>0.10148228882833799</v>
      </c>
      <c r="Z109" s="80">
        <v>30895</v>
      </c>
      <c r="AA109" s="81">
        <f>(Z109/Z97-1)</f>
        <v>7.4048322614288287E-2</v>
      </c>
      <c r="AB109" s="68">
        <v>24224</v>
      </c>
      <c r="AC109" s="74">
        <f t="shared" si="56"/>
        <v>-8.4539510978421051E-2</v>
      </c>
      <c r="AD109" s="68">
        <v>27402</v>
      </c>
      <c r="AE109" s="9">
        <f t="shared" si="66"/>
        <v>-5.6664830625172129E-2</v>
      </c>
      <c r="AF109" s="68">
        <v>1800</v>
      </c>
      <c r="AG109" s="9">
        <f t="shared" si="41"/>
        <v>-0.18181818181818177</v>
      </c>
      <c r="AH109" s="77">
        <v>14729</v>
      </c>
      <c r="AI109" s="74">
        <f t="shared" si="64"/>
        <v>2.1428571428571429E-2</v>
      </c>
      <c r="AJ109" s="426"/>
      <c r="AK109" s="427"/>
      <c r="AL109" s="68">
        <v>1197</v>
      </c>
      <c r="AM109" s="37">
        <f t="shared" si="40"/>
        <v>0.13891531874405327</v>
      </c>
      <c r="AN109" s="38">
        <v>2612</v>
      </c>
      <c r="AO109" s="9">
        <f t="shared" si="67"/>
        <v>0.42966611932129184</v>
      </c>
      <c r="AP109" s="426"/>
      <c r="AQ109" s="415"/>
      <c r="AR109" s="68">
        <v>0</v>
      </c>
      <c r="AS109" s="99">
        <f t="shared" si="63"/>
        <v>-1</v>
      </c>
      <c r="AT109" s="412"/>
      <c r="AU109" s="418"/>
      <c r="AV109" s="412"/>
      <c r="AW109" s="415"/>
      <c r="AX109" s="412"/>
      <c r="AY109" s="422"/>
      <c r="AZ109" s="68">
        <v>1429</v>
      </c>
      <c r="BA109" s="9">
        <f t="shared" si="48"/>
        <v>0.18294701986754958</v>
      </c>
      <c r="BB109" s="68"/>
      <c r="BC109" s="238"/>
    </row>
    <row r="110" spans="1:55" s="157" customFormat="1" ht="13.5" customHeight="1">
      <c r="A110" s="461"/>
      <c r="B110" s="73" t="s">
        <v>27</v>
      </c>
      <c r="C110" s="68">
        <v>1059709</v>
      </c>
      <c r="D110" s="74">
        <f t="shared" si="54"/>
        <v>4.5586266301071425E-2</v>
      </c>
      <c r="E110" s="178"/>
      <c r="F110" s="68">
        <v>145742</v>
      </c>
      <c r="G110" s="74">
        <f t="shared" si="61"/>
        <v>0.19035251069946749</v>
      </c>
      <c r="H110" s="68">
        <v>319200</v>
      </c>
      <c r="I110" s="74">
        <f t="shared" si="58"/>
        <v>-5.0282653972032132E-2</v>
      </c>
      <c r="J110" s="68">
        <v>19439</v>
      </c>
      <c r="K110" s="74">
        <f t="shared" si="62"/>
        <v>8.0184485441209152E-2</v>
      </c>
      <c r="L110" s="75">
        <v>76876</v>
      </c>
      <c r="M110" s="76">
        <f t="shared" si="59"/>
        <v>5.8140175081209049E-2</v>
      </c>
      <c r="N110" s="68">
        <v>84266</v>
      </c>
      <c r="O110" s="74">
        <f t="shared" si="46"/>
        <v>0.13569098897544407</v>
      </c>
      <c r="P110" s="68">
        <v>46208</v>
      </c>
      <c r="Q110" s="74">
        <f t="shared" si="50"/>
        <v>0.97057443814235156</v>
      </c>
      <c r="R110" s="75">
        <v>32585</v>
      </c>
      <c r="S110" s="76">
        <f t="shared" si="60"/>
        <v>0.22146418262923118</v>
      </c>
      <c r="T110" s="68">
        <v>31247</v>
      </c>
      <c r="U110" s="79">
        <f t="shared" si="49"/>
        <v>3.7692614240170029E-2</v>
      </c>
      <c r="V110" s="68">
        <v>404</v>
      </c>
      <c r="W110" s="9">
        <f t="shared" si="65"/>
        <v>0.4377224199288256</v>
      </c>
      <c r="X110" s="78">
        <v>73795</v>
      </c>
      <c r="Y110" s="74">
        <f t="shared" si="51"/>
        <v>2.9463052606615303E-2</v>
      </c>
      <c r="Z110" s="82">
        <v>19340</v>
      </c>
      <c r="AA110" s="81">
        <f>(Z110/Z98-1)</f>
        <v>-2.5005041338979628E-2</v>
      </c>
      <c r="AB110" s="68">
        <v>22339</v>
      </c>
      <c r="AC110" s="74">
        <f t="shared" si="56"/>
        <v>3.4691987031032934E-2</v>
      </c>
      <c r="AD110" s="68">
        <v>22380</v>
      </c>
      <c r="AE110" s="9">
        <f t="shared" si="66"/>
        <v>0.23305785123966943</v>
      </c>
      <c r="AF110" s="68">
        <v>1700</v>
      </c>
      <c r="AG110" s="9">
        <f t="shared" si="41"/>
        <v>-0.26086956521739135</v>
      </c>
      <c r="AH110" s="77">
        <v>12380</v>
      </c>
      <c r="AI110" s="74">
        <f t="shared" si="64"/>
        <v>-3.9640058955860681E-2</v>
      </c>
      <c r="AJ110" s="426"/>
      <c r="AK110" s="427"/>
      <c r="AL110" s="68">
        <v>2292</v>
      </c>
      <c r="AM110" s="37">
        <f>(AL110/AL98-1)</f>
        <v>0.21077654516640254</v>
      </c>
      <c r="AN110" s="38">
        <v>2755</v>
      </c>
      <c r="AO110" s="9">
        <f t="shared" si="67"/>
        <v>0.85272360457296581</v>
      </c>
      <c r="AP110" s="426"/>
      <c r="AQ110" s="415"/>
      <c r="AR110" s="68">
        <v>0</v>
      </c>
      <c r="AS110" s="99">
        <f t="shared" si="63"/>
        <v>-1</v>
      </c>
      <c r="AT110" s="412"/>
      <c r="AU110" s="418"/>
      <c r="AV110" s="412"/>
      <c r="AW110" s="415"/>
      <c r="AX110" s="412"/>
      <c r="AY110" s="422"/>
      <c r="AZ110" s="68">
        <v>891</v>
      </c>
      <c r="BA110" s="9">
        <f t="shared" si="48"/>
        <v>0.26025459688826036</v>
      </c>
      <c r="BB110" s="68"/>
      <c r="BC110" s="238"/>
    </row>
    <row r="111" spans="1:55" s="157" customFormat="1" ht="13.5" customHeight="1">
      <c r="A111" s="461"/>
      <c r="B111" s="15" t="s">
        <v>28</v>
      </c>
      <c r="C111" s="5">
        <v>1154742</v>
      </c>
      <c r="D111" s="74">
        <f t="shared" si="54"/>
        <v>0.11829779321685588</v>
      </c>
      <c r="E111" s="178"/>
      <c r="F111" s="5">
        <v>168150</v>
      </c>
      <c r="G111" s="9">
        <f t="shared" si="61"/>
        <v>0.27136905617009049</v>
      </c>
      <c r="H111" s="5">
        <v>372200</v>
      </c>
      <c r="I111" s="74">
        <f t="shared" si="58"/>
        <v>1.0589193592180288E-2</v>
      </c>
      <c r="J111" s="5">
        <v>20839</v>
      </c>
      <c r="K111" s="9">
        <f t="shared" si="62"/>
        <v>0.16686264628478639</v>
      </c>
      <c r="L111" s="53">
        <v>83248</v>
      </c>
      <c r="M111" s="76">
        <f t="shared" si="59"/>
        <v>8.3126244161386434E-2</v>
      </c>
      <c r="N111" s="5">
        <v>97324</v>
      </c>
      <c r="O111" s="9">
        <f t="shared" si="46"/>
        <v>0.30457628481810139</v>
      </c>
      <c r="P111" s="5">
        <v>49695</v>
      </c>
      <c r="Q111" s="9">
        <f t="shared" si="50"/>
        <v>3.7733879051119246E-2</v>
      </c>
      <c r="R111" s="53">
        <v>34502</v>
      </c>
      <c r="S111" s="37">
        <f t="shared" si="60"/>
        <v>0.25961082107261507</v>
      </c>
      <c r="T111" s="5">
        <v>34712</v>
      </c>
      <c r="U111" s="79">
        <f t="shared" si="49"/>
        <v>3.3279752336726795E-2</v>
      </c>
      <c r="V111" s="5">
        <v>499</v>
      </c>
      <c r="W111" s="9">
        <f t="shared" si="65"/>
        <v>-8.7751371115173671E-2</v>
      </c>
      <c r="X111" s="11">
        <v>79519</v>
      </c>
      <c r="Y111" s="74">
        <f t="shared" si="51"/>
        <v>0.13660272719476296</v>
      </c>
      <c r="Z111" s="83">
        <v>31132</v>
      </c>
      <c r="AA111" s="81">
        <f>(Z111/Z99-1)</f>
        <v>0.18656858634752438</v>
      </c>
      <c r="AB111" s="5">
        <v>24686</v>
      </c>
      <c r="AC111" s="74">
        <f t="shared" si="56"/>
        <v>-3.218724271768536E-2</v>
      </c>
      <c r="AD111" s="5">
        <v>18270</v>
      </c>
      <c r="AE111" s="9">
        <f t="shared" si="66"/>
        <v>-9.835661057099146E-2</v>
      </c>
      <c r="AF111" s="5">
        <v>2300</v>
      </c>
      <c r="AG111" s="9">
        <f t="shared" si="41"/>
        <v>0</v>
      </c>
      <c r="AH111" s="3">
        <v>14038</v>
      </c>
      <c r="AI111" s="74">
        <f t="shared" si="64"/>
        <v>1.3940050559768869E-2</v>
      </c>
      <c r="AJ111" s="426">
        <f>44360-AJ108-AJ105-AJ102</f>
        <v>5622</v>
      </c>
      <c r="AK111" s="427">
        <f>(AJ111/AJ99-1)</f>
        <v>-3.2524522457408334E-2</v>
      </c>
      <c r="AL111" s="5">
        <v>3044</v>
      </c>
      <c r="AM111" s="37">
        <f t="shared" si="40"/>
        <v>-0.31610873960907659</v>
      </c>
      <c r="AN111" s="38">
        <v>3414</v>
      </c>
      <c r="AO111" s="9">
        <f t="shared" si="67"/>
        <v>0.98719441210710124</v>
      </c>
      <c r="AP111" s="426"/>
      <c r="AQ111" s="415"/>
      <c r="AR111" s="5">
        <v>0</v>
      </c>
      <c r="AS111" s="99" t="str">
        <f t="shared" si="63"/>
        <v>-</v>
      </c>
      <c r="AT111" s="412"/>
      <c r="AU111" s="418"/>
      <c r="AV111" s="412"/>
      <c r="AW111" s="415"/>
      <c r="AX111" s="412"/>
      <c r="AY111" s="422"/>
      <c r="AZ111" s="5">
        <v>1527</v>
      </c>
      <c r="BA111" s="9">
        <f t="shared" si="48"/>
        <v>-0.16420361247947457</v>
      </c>
      <c r="BB111" s="5"/>
      <c r="BC111" s="238"/>
    </row>
    <row r="112" spans="1:55" s="157" customFormat="1" ht="13.5" customHeight="1">
      <c r="A112" s="461"/>
      <c r="B112" s="15" t="s">
        <v>29</v>
      </c>
      <c r="C112" s="5">
        <v>1117550</v>
      </c>
      <c r="D112" s="74">
        <f t="shared" si="54"/>
        <v>0.14708161620930865</v>
      </c>
      <c r="E112" s="178"/>
      <c r="F112" s="5">
        <v>183557</v>
      </c>
      <c r="G112" s="9">
        <f t="shared" si="61"/>
        <v>0.36973636099067975</v>
      </c>
      <c r="H112" s="5">
        <v>313500</v>
      </c>
      <c r="I112" s="74">
        <f t="shared" si="58"/>
        <v>1.9512195121951219E-2</v>
      </c>
      <c r="J112" s="5">
        <v>23001</v>
      </c>
      <c r="K112" s="9">
        <f t="shared" si="62"/>
        <v>0.10168598524762908</v>
      </c>
      <c r="L112" s="53">
        <v>86841</v>
      </c>
      <c r="M112" s="76">
        <f t="shared" si="59"/>
        <v>7.0182140832573389E-2</v>
      </c>
      <c r="N112" s="5">
        <v>109837</v>
      </c>
      <c r="O112" s="9">
        <f t="shared" si="46"/>
        <v>0.77775799559756575</v>
      </c>
      <c r="P112" s="5">
        <v>59774</v>
      </c>
      <c r="Q112" s="9">
        <f t="shared" si="50"/>
        <v>9.2181475999926876E-2</v>
      </c>
      <c r="R112" s="53">
        <v>34686</v>
      </c>
      <c r="S112" s="37">
        <f t="shared" si="60"/>
        <v>0.1417004048582996</v>
      </c>
      <c r="T112" s="5">
        <v>34012</v>
      </c>
      <c r="U112" s="79">
        <f t="shared" si="49"/>
        <v>2.6157791522099863E-2</v>
      </c>
      <c r="V112" s="5">
        <v>871</v>
      </c>
      <c r="W112" s="9">
        <f t="shared" si="65"/>
        <v>0.84143763213530653</v>
      </c>
      <c r="X112" s="11">
        <v>89656</v>
      </c>
      <c r="Y112" s="74">
        <f t="shared" si="51"/>
        <v>9.006905943001664E-2</v>
      </c>
      <c r="Z112" s="83">
        <v>30259</v>
      </c>
      <c r="AA112" s="81">
        <f>(Z112/Z100-1)</f>
        <v>-3.3382315359059556E-2</v>
      </c>
      <c r="AB112" s="5">
        <v>25392</v>
      </c>
      <c r="AC112" s="74">
        <f t="shared" si="56"/>
        <v>-0.11350068079460951</v>
      </c>
      <c r="AD112" s="5">
        <v>22469</v>
      </c>
      <c r="AE112" s="9">
        <f t="shared" si="66"/>
        <v>-7.4168692570769287E-2</v>
      </c>
      <c r="AF112" s="5">
        <v>2100</v>
      </c>
      <c r="AG112" s="9">
        <f t="shared" si="41"/>
        <v>-0.16000000000000003</v>
      </c>
      <c r="AH112" s="3">
        <v>11903</v>
      </c>
      <c r="AI112" s="74">
        <f t="shared" si="64"/>
        <v>0.43877674362383656</v>
      </c>
      <c r="AJ112" s="426"/>
      <c r="AK112" s="427"/>
      <c r="AL112" s="5">
        <v>2819</v>
      </c>
      <c r="AM112" s="37">
        <f t="shared" si="40"/>
        <v>-0.28068384792038781</v>
      </c>
      <c r="AN112" s="38">
        <v>3922</v>
      </c>
      <c r="AO112" s="9">
        <f t="shared" si="67"/>
        <v>0.82588454376163867</v>
      </c>
      <c r="AP112" s="426"/>
      <c r="AQ112" s="415"/>
      <c r="AR112" s="5">
        <v>0</v>
      </c>
      <c r="AS112" s="99" t="str">
        <f t="shared" si="63"/>
        <v>-</v>
      </c>
      <c r="AT112" s="412"/>
      <c r="AU112" s="418"/>
      <c r="AV112" s="412"/>
      <c r="AW112" s="415"/>
      <c r="AX112" s="412"/>
      <c r="AY112" s="422"/>
      <c r="AZ112" s="5">
        <v>1570</v>
      </c>
      <c r="BA112" s="9">
        <f t="shared" si="48"/>
        <v>-0.12192393736017892</v>
      </c>
      <c r="BB112" s="5"/>
      <c r="BC112" s="238"/>
    </row>
    <row r="113" spans="1:55" s="157" customFormat="1" ht="13.5" customHeight="1">
      <c r="A113" s="462"/>
      <c r="B113" s="41" t="s">
        <v>30</v>
      </c>
      <c r="C113" s="5">
        <v>1169970</v>
      </c>
      <c r="D113" s="74">
        <f t="shared" si="54"/>
        <v>0.1463011733722106</v>
      </c>
      <c r="E113" s="178"/>
      <c r="F113" s="5">
        <v>199950</v>
      </c>
      <c r="G113" s="9">
        <f t="shared" si="61"/>
        <v>0.41271478634411035</v>
      </c>
      <c r="H113" s="5">
        <v>281200</v>
      </c>
      <c r="I113" s="74">
        <f t="shared" si="58"/>
        <v>-4.1581458759372872E-2</v>
      </c>
      <c r="J113" s="5">
        <v>24425</v>
      </c>
      <c r="K113" s="9">
        <f t="shared" si="62"/>
        <v>0.17416594558215556</v>
      </c>
      <c r="L113" s="53">
        <v>102325</v>
      </c>
      <c r="M113" s="84">
        <f t="shared" si="59"/>
        <v>4.114732247331631E-2</v>
      </c>
      <c r="N113" s="5">
        <v>112960</v>
      </c>
      <c r="O113" s="9">
        <f t="shared" si="46"/>
        <v>0.56248703229822261</v>
      </c>
      <c r="P113" s="5">
        <v>64978</v>
      </c>
      <c r="Q113" s="9">
        <v>0.22770000000000001</v>
      </c>
      <c r="R113" s="53">
        <v>44150</v>
      </c>
      <c r="S113" s="37">
        <f t="shared" si="60"/>
        <v>0.14660433709907805</v>
      </c>
      <c r="T113" s="5">
        <v>31208</v>
      </c>
      <c r="U113" s="79">
        <f t="shared" si="49"/>
        <v>5.4146259077858472E-2</v>
      </c>
      <c r="V113" s="5">
        <v>925</v>
      </c>
      <c r="W113" s="9">
        <f t="shared" si="65"/>
        <v>1.3125</v>
      </c>
      <c r="X113" s="11">
        <v>109062</v>
      </c>
      <c r="Y113" s="74">
        <f t="shared" si="51"/>
        <v>0.26679288676198998</v>
      </c>
      <c r="Z113" s="83">
        <v>43550</v>
      </c>
      <c r="AA113" s="81">
        <f>(Z113/Z101-1)</f>
        <v>0.14944045608108114</v>
      </c>
      <c r="AB113" s="5">
        <v>24277</v>
      </c>
      <c r="AC113" s="85">
        <f t="shared" si="56"/>
        <v>-1.0918720717050356E-2</v>
      </c>
      <c r="AD113" s="5">
        <v>22877</v>
      </c>
      <c r="AE113" s="9">
        <f t="shared" si="66"/>
        <v>-9.8407819027350837E-2</v>
      </c>
      <c r="AF113" s="5">
        <v>1300</v>
      </c>
      <c r="AG113" s="19">
        <f t="shared" si="41"/>
        <v>-7.1428571428571397E-2</v>
      </c>
      <c r="AH113" s="3">
        <v>11184</v>
      </c>
      <c r="AI113" s="74">
        <f t="shared" si="64"/>
        <v>0.26975476839237056</v>
      </c>
      <c r="AJ113" s="433"/>
      <c r="AK113" s="427"/>
      <c r="AL113" s="5">
        <v>2409</v>
      </c>
      <c r="AM113" s="37">
        <f t="shared" si="40"/>
        <v>-1.5126737530662293E-2</v>
      </c>
      <c r="AN113" s="46">
        <v>4296</v>
      </c>
      <c r="AO113" s="19">
        <f t="shared" si="67"/>
        <v>0.82188295165394409</v>
      </c>
      <c r="AP113" s="433"/>
      <c r="AQ113" s="416"/>
      <c r="AR113" s="5">
        <v>0</v>
      </c>
      <c r="AS113" s="99" t="str">
        <f t="shared" si="63"/>
        <v>-</v>
      </c>
      <c r="AT113" s="413"/>
      <c r="AU113" s="419"/>
      <c r="AV113" s="413"/>
      <c r="AW113" s="416"/>
      <c r="AX113" s="413"/>
      <c r="AY113" s="423"/>
      <c r="AZ113" s="5">
        <v>1683</v>
      </c>
      <c r="BA113" s="9">
        <f t="shared" si="48"/>
        <v>-1.6364699006429007E-2</v>
      </c>
      <c r="BB113" s="5"/>
      <c r="BC113" s="238"/>
    </row>
    <row r="114" spans="1:55" s="157" customFormat="1">
      <c r="A114" s="457" t="s">
        <v>154</v>
      </c>
      <c r="B114" s="2" t="s">
        <v>155</v>
      </c>
      <c r="C114" s="25">
        <v>1425900</v>
      </c>
      <c r="D114" s="24">
        <f t="shared" si="54"/>
        <v>0.18747616136817508</v>
      </c>
      <c r="E114" s="178"/>
      <c r="F114" s="25">
        <v>234456</v>
      </c>
      <c r="G114" s="24">
        <f>(F114-F102)/F102</f>
        <v>0.35523699421965316</v>
      </c>
      <c r="H114" s="25">
        <v>322500</v>
      </c>
      <c r="I114" s="24">
        <f t="shared" si="58"/>
        <v>8.2941571524513091E-2</v>
      </c>
      <c r="J114" s="25">
        <v>31129</v>
      </c>
      <c r="K114" s="24">
        <f t="shared" si="62"/>
        <v>0.20842391304347826</v>
      </c>
      <c r="L114" s="56">
        <v>112089</v>
      </c>
      <c r="M114" s="76">
        <f t="shared" si="59"/>
        <v>1.485767057800956E-2</v>
      </c>
      <c r="N114" s="25">
        <v>143799</v>
      </c>
      <c r="O114" s="24">
        <f t="shared" ref="O114:O126" si="68">(N114-N102)/N102</f>
        <v>0.43509111594578953</v>
      </c>
      <c r="P114" s="25">
        <v>84283</v>
      </c>
      <c r="Q114" s="24">
        <f t="shared" ref="Q114:Q125" si="69">(P114/P102-1)</f>
        <v>0.39025798363684339</v>
      </c>
      <c r="R114" s="56">
        <v>52668</v>
      </c>
      <c r="S114" s="28">
        <f t="shared" si="60"/>
        <v>0.14059251559251559</v>
      </c>
      <c r="T114" s="25">
        <v>53193</v>
      </c>
      <c r="U114" s="24">
        <f t="shared" ref="U114:U149" si="70">(T114-T102)/T102</f>
        <v>0.15805629939259355</v>
      </c>
      <c r="V114" s="25">
        <v>1429</v>
      </c>
      <c r="W114" s="28">
        <f t="shared" ref="W114:W124" si="71">(V114-V102)/V102</f>
        <v>0.59308807134894093</v>
      </c>
      <c r="X114" s="25">
        <v>134994</v>
      </c>
      <c r="Y114" s="24">
        <f t="shared" si="51"/>
        <v>0.3213202043732748</v>
      </c>
      <c r="Z114" s="29">
        <v>70770</v>
      </c>
      <c r="AA114" s="421">
        <f>SUM(Z114:Z120)/Z102-1</f>
        <v>0.10525720305093333</v>
      </c>
      <c r="AB114" s="25">
        <v>31708</v>
      </c>
      <c r="AC114" s="74">
        <f t="shared" si="56"/>
        <v>6.5528597351972584E-2</v>
      </c>
      <c r="AD114" s="25">
        <v>31178</v>
      </c>
      <c r="AE114" s="24">
        <f t="shared" si="66"/>
        <v>4.8352387357094823E-2</v>
      </c>
      <c r="AF114" s="25">
        <v>3700</v>
      </c>
      <c r="AG114" s="24">
        <f>(AF114/AF102-1)</f>
        <v>-0.11904761904761907</v>
      </c>
      <c r="AH114" s="25">
        <v>16530</v>
      </c>
      <c r="AI114" s="24">
        <f t="shared" si="64"/>
        <v>0.31419939577039274</v>
      </c>
      <c r="AJ114" s="426">
        <v>5375</v>
      </c>
      <c r="AK114" s="455">
        <f>(AJ114/AJ102-1)</f>
        <v>5.8487593540764049E-2</v>
      </c>
      <c r="AL114" s="25">
        <v>1410</v>
      </c>
      <c r="AM114" s="28">
        <f>(AL114/AL102-Y1175)</f>
        <v>1.5161290322580645</v>
      </c>
      <c r="AN114" s="25">
        <v>6565</v>
      </c>
      <c r="AO114" s="9">
        <f>(AN114/AN102-1)</f>
        <v>0.70386711653257206</v>
      </c>
      <c r="AP114" s="440">
        <v>112619</v>
      </c>
      <c r="AQ114" s="414">
        <f>AP114/SUM(AP102:AP113)-1</f>
        <v>2.8775269711059703E-2</v>
      </c>
      <c r="AR114" s="25">
        <v>0</v>
      </c>
      <c r="AS114" s="138" t="str">
        <f t="shared" si="63"/>
        <v>-</v>
      </c>
      <c r="AT114" s="411">
        <v>596</v>
      </c>
      <c r="AU114" s="417">
        <f>AT114/AT102-1</f>
        <v>-5.3968253968253999E-2</v>
      </c>
      <c r="AV114" s="411">
        <v>18683</v>
      </c>
      <c r="AW114" s="414">
        <f>AV114/AV102-1</f>
        <v>2.5130315500685896E-2</v>
      </c>
      <c r="AX114" s="411">
        <v>81799</v>
      </c>
      <c r="AY114" s="421">
        <f>(AX114/AX102-1)</f>
        <v>0.51960838952980737</v>
      </c>
      <c r="AZ114" s="25">
        <v>3265</v>
      </c>
      <c r="BA114" s="24">
        <f t="shared" si="48"/>
        <v>0.11205722070844693</v>
      </c>
      <c r="BB114" s="25"/>
      <c r="BC114" s="237"/>
    </row>
    <row r="115" spans="1:55" s="157" customFormat="1" ht="12" customHeight="1">
      <c r="A115" s="458"/>
      <c r="B115" s="15" t="s">
        <v>153</v>
      </c>
      <c r="C115" s="5">
        <v>1184807</v>
      </c>
      <c r="D115" s="9">
        <f t="shared" si="54"/>
        <v>2.9967818042412029E-2</v>
      </c>
      <c r="E115" s="178"/>
      <c r="F115" s="5">
        <v>234390</v>
      </c>
      <c r="G115" s="9">
        <f t="shared" si="61"/>
        <v>0.38671794113296848</v>
      </c>
      <c r="H115" s="5">
        <v>280900</v>
      </c>
      <c r="I115" s="9">
        <f t="shared" si="58"/>
        <v>-0.16398809523809524</v>
      </c>
      <c r="J115" s="5">
        <v>24129</v>
      </c>
      <c r="K115" s="9">
        <f t="shared" si="62"/>
        <v>3.6291015289469167E-2</v>
      </c>
      <c r="L115" s="53">
        <v>90724</v>
      </c>
      <c r="M115" s="76">
        <f t="shared" si="59"/>
        <v>-0.18082906700616699</v>
      </c>
      <c r="N115" s="5">
        <v>110734</v>
      </c>
      <c r="O115" s="9">
        <f t="shared" si="68"/>
        <v>7.5661761134586433E-2</v>
      </c>
      <c r="P115" s="5">
        <v>72348</v>
      </c>
      <c r="Q115" s="9">
        <f t="shared" si="69"/>
        <v>-0.10923417877370101</v>
      </c>
      <c r="R115" s="53">
        <v>39380</v>
      </c>
      <c r="S115" s="37">
        <f t="shared" si="60"/>
        <v>-0.13338174776083273</v>
      </c>
      <c r="T115" s="5">
        <v>40229</v>
      </c>
      <c r="U115" s="9">
        <f t="shared" si="70"/>
        <v>-0.11384012159393793</v>
      </c>
      <c r="V115" s="5">
        <v>576</v>
      </c>
      <c r="W115" s="9">
        <f t="shared" si="71"/>
        <v>-0.10697674418604651</v>
      </c>
      <c r="X115" s="5">
        <v>106122</v>
      </c>
      <c r="Y115" s="9">
        <f t="shared" si="51"/>
        <v>0.1823124401167584</v>
      </c>
      <c r="Z115" s="38">
        <v>49330</v>
      </c>
      <c r="AA115" s="428"/>
      <c r="AB115" s="5">
        <v>25114</v>
      </c>
      <c r="AC115" s="74">
        <f t="shared" si="56"/>
        <v>-0.16772162386081191</v>
      </c>
      <c r="AD115" s="5">
        <v>26397</v>
      </c>
      <c r="AE115" s="9">
        <f t="shared" si="66"/>
        <v>-5.4616431487715777E-2</v>
      </c>
      <c r="AF115" s="5">
        <v>3700</v>
      </c>
      <c r="AG115" s="9">
        <f t="shared" si="41"/>
        <v>-0.32727272727272727</v>
      </c>
      <c r="AH115" s="5">
        <v>12534</v>
      </c>
      <c r="AI115" s="9">
        <f t="shared" si="64"/>
        <v>0.16943459600671767</v>
      </c>
      <c r="AJ115" s="426"/>
      <c r="AK115" s="430"/>
      <c r="AL115" s="5">
        <v>1050</v>
      </c>
      <c r="AM115" s="37">
        <f t="shared" si="40"/>
        <v>-0.34375</v>
      </c>
      <c r="AN115" s="5">
        <v>4480</v>
      </c>
      <c r="AO115" s="9">
        <f>(AN115/AN103-1)</f>
        <v>0.6976127320954908</v>
      </c>
      <c r="AP115" s="426"/>
      <c r="AQ115" s="415"/>
      <c r="AR115" s="5">
        <v>0</v>
      </c>
      <c r="AS115" s="99" t="str">
        <f t="shared" si="63"/>
        <v>-</v>
      </c>
      <c r="AT115" s="412"/>
      <c r="AU115" s="418"/>
      <c r="AV115" s="412"/>
      <c r="AW115" s="415"/>
      <c r="AX115" s="412"/>
      <c r="AY115" s="422"/>
      <c r="AZ115" s="5">
        <v>1535</v>
      </c>
      <c r="BA115" s="9">
        <f t="shared" si="48"/>
        <v>-0.29360331339162449</v>
      </c>
      <c r="BB115" s="5"/>
      <c r="BC115" s="238"/>
    </row>
    <row r="116" spans="1:55" s="157" customFormat="1" ht="12" customHeight="1">
      <c r="A116" s="458"/>
      <c r="B116" s="15" t="s">
        <v>21</v>
      </c>
      <c r="C116" s="5">
        <v>1113946</v>
      </c>
      <c r="D116" s="9">
        <f t="shared" si="54"/>
        <v>9.322715888481499E-2</v>
      </c>
      <c r="E116" s="178"/>
      <c r="F116" s="61">
        <v>206946</v>
      </c>
      <c r="G116" s="9">
        <f t="shared" ref="G116:G125" si="72">(F116-F104)/F104</f>
        <v>0.37696868075932688</v>
      </c>
      <c r="H116" s="5">
        <v>315000</v>
      </c>
      <c r="I116" s="9">
        <f t="shared" si="58"/>
        <v>-1.6853932584269662E-2</v>
      </c>
      <c r="J116" s="5">
        <v>24252</v>
      </c>
      <c r="K116" s="9">
        <f t="shared" ref="K116:K126" si="73">(J116-J104)/J104</f>
        <v>0.12428723749478467</v>
      </c>
      <c r="L116" s="53">
        <v>79894</v>
      </c>
      <c r="M116" s="76">
        <f t="shared" si="59"/>
        <v>-3.7201287041611936E-2</v>
      </c>
      <c r="N116" s="5">
        <v>96983</v>
      </c>
      <c r="O116" s="9">
        <f t="shared" si="68"/>
        <v>8.405709622972625E-2</v>
      </c>
      <c r="P116" s="5">
        <v>67745</v>
      </c>
      <c r="Q116" s="9">
        <f t="shared" si="69"/>
        <v>5.0570684200732074E-2</v>
      </c>
      <c r="R116" s="53">
        <v>36786</v>
      </c>
      <c r="S116" s="37">
        <f t="shared" si="60"/>
        <v>8.3056087148535254E-2</v>
      </c>
      <c r="T116" s="5">
        <v>36755</v>
      </c>
      <c r="U116" s="9">
        <f t="shared" si="70"/>
        <v>7.85867300525281E-2</v>
      </c>
      <c r="V116" s="5">
        <v>1349</v>
      </c>
      <c r="W116" s="9">
        <f t="shared" si="71"/>
        <v>1.0914728682170542</v>
      </c>
      <c r="X116" s="5">
        <v>87338</v>
      </c>
      <c r="Y116" s="9">
        <f t="shared" ref="Y116:Y159" si="74">(X116/X104-1)</f>
        <v>0.19465988209063423</v>
      </c>
      <c r="Z116" s="38">
        <v>41971</v>
      </c>
      <c r="AA116" s="428"/>
      <c r="AB116" s="5">
        <v>25083</v>
      </c>
      <c r="AC116" s="74">
        <f t="shared" si="56"/>
        <v>7.8235825130034797E-2</v>
      </c>
      <c r="AD116" s="5">
        <v>21920</v>
      </c>
      <c r="AE116" s="9">
        <f t="shared" si="66"/>
        <v>0.13486927258607301</v>
      </c>
      <c r="AF116" s="5">
        <v>2100</v>
      </c>
      <c r="AG116" s="9">
        <f t="shared" si="41"/>
        <v>-0.38235294117647056</v>
      </c>
      <c r="AH116" s="5">
        <v>14165</v>
      </c>
      <c r="AI116" s="9">
        <f t="shared" si="64"/>
        <v>0.18327625093977112</v>
      </c>
      <c r="AJ116" s="426"/>
      <c r="AK116" s="430"/>
      <c r="AL116" s="5">
        <v>1882</v>
      </c>
      <c r="AM116" s="37">
        <f t="shared" si="40"/>
        <v>4.6136742634797168E-2</v>
      </c>
      <c r="AN116" s="5">
        <v>4219</v>
      </c>
      <c r="AO116" s="9">
        <f>(AN116/AN104-1)</f>
        <v>0.82640692640692648</v>
      </c>
      <c r="AP116" s="426"/>
      <c r="AQ116" s="415"/>
      <c r="AR116" s="5">
        <v>0</v>
      </c>
      <c r="AS116" s="99" t="str">
        <f t="shared" si="63"/>
        <v>-</v>
      </c>
      <c r="AT116" s="412"/>
      <c r="AU116" s="418"/>
      <c r="AV116" s="412"/>
      <c r="AW116" s="415"/>
      <c r="AX116" s="412"/>
      <c r="AY116" s="422"/>
      <c r="AZ116" s="5">
        <v>1431</v>
      </c>
      <c r="BA116" s="9">
        <f>(AZ116/AZ104-1)</f>
        <v>-0.2277388019427955</v>
      </c>
      <c r="BB116" s="5"/>
      <c r="BC116" s="238"/>
    </row>
    <row r="117" spans="1:55" s="157" customFormat="1" ht="12" customHeight="1">
      <c r="A117" s="458"/>
      <c r="B117" s="73" t="s">
        <v>22</v>
      </c>
      <c r="C117" s="68">
        <v>1097420</v>
      </c>
      <c r="D117" s="9">
        <f t="shared" si="54"/>
        <v>7.733312390479509E-2</v>
      </c>
      <c r="E117" s="178"/>
      <c r="F117" s="68">
        <v>204229</v>
      </c>
      <c r="G117" s="9">
        <f t="shared" si="72"/>
        <v>0.34076272132245294</v>
      </c>
      <c r="H117" s="68">
        <v>319900</v>
      </c>
      <c r="I117" s="9">
        <f t="shared" ref="I117:I123" si="75">(H117-H105)/H105</f>
        <v>-6.1601642710472276E-2</v>
      </c>
      <c r="J117" s="68">
        <v>22332</v>
      </c>
      <c r="K117" s="9">
        <f t="shared" si="73"/>
        <v>0.12435807068774545</v>
      </c>
      <c r="L117" s="75">
        <v>74355</v>
      </c>
      <c r="M117" s="76">
        <f t="shared" si="59"/>
        <v>1.2997098132178036E-2</v>
      </c>
      <c r="N117" s="68">
        <v>84569</v>
      </c>
      <c r="O117" s="9">
        <f t="shared" si="68"/>
        <v>7.5421551921462909E-2</v>
      </c>
      <c r="P117" s="68">
        <v>55720</v>
      </c>
      <c r="Q117" s="9">
        <f t="shared" si="69"/>
        <v>-0.18385282399812519</v>
      </c>
      <c r="R117" s="75">
        <v>30616</v>
      </c>
      <c r="S117" s="37">
        <f t="shared" si="60"/>
        <v>8.8801166471069379E-2</v>
      </c>
      <c r="T117" s="68">
        <v>31296</v>
      </c>
      <c r="U117" s="9">
        <f t="shared" si="70"/>
        <v>1.407909893766799E-3</v>
      </c>
      <c r="V117" s="68">
        <v>814</v>
      </c>
      <c r="W117" s="9">
        <f t="shared" si="71"/>
        <v>0.9334916864608076</v>
      </c>
      <c r="X117" s="68">
        <v>78141</v>
      </c>
      <c r="Y117" s="9">
        <f t="shared" si="74"/>
        <v>0.19642638412542879</v>
      </c>
      <c r="Z117" s="38">
        <v>28844</v>
      </c>
      <c r="AA117" s="428"/>
      <c r="AB117" s="68">
        <v>23885</v>
      </c>
      <c r="AC117" s="74">
        <f t="shared" si="56"/>
        <v>3.4654537578514111E-2</v>
      </c>
      <c r="AD117" s="68">
        <v>17485</v>
      </c>
      <c r="AE117" s="9">
        <f t="shared" si="66"/>
        <v>-3.4831088540516669E-2</v>
      </c>
      <c r="AF117" s="68">
        <v>3000</v>
      </c>
      <c r="AG117" s="9">
        <f t="shared" si="41"/>
        <v>3.4482758620689724E-2</v>
      </c>
      <c r="AH117" s="68">
        <v>17016</v>
      </c>
      <c r="AI117" s="9">
        <f t="shared" si="64"/>
        <v>0.17238528317486565</v>
      </c>
      <c r="AJ117" s="426">
        <f>15854-AJ114</f>
        <v>10479</v>
      </c>
      <c r="AK117" s="427">
        <f>(AJ117/AJ105-1)</f>
        <v>1.8565318818040355E-2</v>
      </c>
      <c r="AL117" s="68">
        <v>2569</v>
      </c>
      <c r="AM117" s="37">
        <f t="shared" si="40"/>
        <v>0.15460674157303367</v>
      </c>
      <c r="AN117" s="68">
        <v>3551</v>
      </c>
      <c r="AO117" s="9">
        <f>(AN117/AN105-1)</f>
        <v>0.90198178896625603</v>
      </c>
      <c r="AP117" s="426"/>
      <c r="AQ117" s="415"/>
      <c r="AR117" s="68">
        <v>0</v>
      </c>
      <c r="AS117" s="195" t="str">
        <f t="shared" si="63"/>
        <v>-</v>
      </c>
      <c r="AT117" s="412"/>
      <c r="AU117" s="418"/>
      <c r="AV117" s="412"/>
      <c r="AW117" s="415"/>
      <c r="AX117" s="412"/>
      <c r="AY117" s="422"/>
      <c r="AZ117" s="68">
        <v>1281</v>
      </c>
      <c r="BA117" s="9">
        <f t="shared" si="48"/>
        <v>-5.8088235294117663E-2</v>
      </c>
      <c r="BB117" s="68"/>
      <c r="BC117" s="74"/>
    </row>
    <row r="118" spans="1:55" s="157" customFormat="1" ht="12" customHeight="1">
      <c r="A118" s="458"/>
      <c r="B118" s="15" t="s">
        <v>23</v>
      </c>
      <c r="C118" s="5">
        <v>1185405</v>
      </c>
      <c r="D118" s="9">
        <f t="shared" si="54"/>
        <v>8.0637221386571853E-2</v>
      </c>
      <c r="E118" s="178"/>
      <c r="F118" s="5">
        <v>228670</v>
      </c>
      <c r="G118" s="9">
        <f t="shared" si="72"/>
        <v>0.45518992497184058</v>
      </c>
      <c r="H118" s="5">
        <v>324000</v>
      </c>
      <c r="I118" s="9">
        <f t="shared" si="75"/>
        <v>-0.12123677786818551</v>
      </c>
      <c r="J118" s="5">
        <v>23154</v>
      </c>
      <c r="K118" s="9">
        <f t="shared" si="73"/>
        <v>0.12753834915997078</v>
      </c>
      <c r="L118" s="53">
        <v>80457</v>
      </c>
      <c r="M118" s="76">
        <f t="shared" si="59"/>
        <v>2.3964670247155546E-2</v>
      </c>
      <c r="N118" s="5">
        <v>88950</v>
      </c>
      <c r="O118" s="9">
        <f t="shared" si="68"/>
        <v>0.2105993793891883</v>
      </c>
      <c r="P118" s="5">
        <v>51101</v>
      </c>
      <c r="Q118" s="9">
        <f t="shared" si="69"/>
        <v>5.5609494102336399E-2</v>
      </c>
      <c r="R118" s="53">
        <v>33113</v>
      </c>
      <c r="S118" s="37">
        <f t="shared" si="60"/>
        <v>5.8193787549533429E-2</v>
      </c>
      <c r="T118" s="262">
        <v>33857</v>
      </c>
      <c r="U118" s="9">
        <f t="shared" si="70"/>
        <v>2.5410382215761099E-2</v>
      </c>
      <c r="V118" s="5">
        <v>705</v>
      </c>
      <c r="W118" s="9">
        <f t="shared" si="71"/>
        <v>0.43002028397565922</v>
      </c>
      <c r="X118" s="5">
        <v>82794</v>
      </c>
      <c r="Y118" s="9">
        <f t="shared" si="74"/>
        <v>0.23893037245424753</v>
      </c>
      <c r="Z118" s="86">
        <f>215254-SUM(Z114:Z117)</f>
        <v>24339</v>
      </c>
      <c r="AA118" s="428"/>
      <c r="AB118" s="5">
        <v>22322</v>
      </c>
      <c r="AC118" s="74">
        <f t="shared" si="56"/>
        <v>-0.11088982713295625</v>
      </c>
      <c r="AD118" s="5">
        <v>19612</v>
      </c>
      <c r="AE118" s="9">
        <f t="shared" si="66"/>
        <v>-1.4422835318357707E-2</v>
      </c>
      <c r="AF118" s="5">
        <v>2200</v>
      </c>
      <c r="AG118" s="9">
        <f t="shared" si="41"/>
        <v>-0.2142857142857143</v>
      </c>
      <c r="AH118" s="5">
        <v>17788</v>
      </c>
      <c r="AI118" s="9">
        <f t="shared" si="64"/>
        <v>0.12810755961440892</v>
      </c>
      <c r="AJ118" s="426"/>
      <c r="AK118" s="427"/>
      <c r="AL118" s="5">
        <v>2729</v>
      </c>
      <c r="AM118" s="37">
        <f t="shared" si="40"/>
        <v>0.56659012629161887</v>
      </c>
      <c r="AN118" s="412">
        <f>54934-SUM(AN114:AN117)</f>
        <v>36119</v>
      </c>
      <c r="AO118" s="473">
        <f>AN118/SUM(AN106:AN113)-1</f>
        <v>0.49647828969174679</v>
      </c>
      <c r="AP118" s="426"/>
      <c r="AQ118" s="415"/>
      <c r="AR118" s="68">
        <v>0</v>
      </c>
      <c r="AS118" s="195" t="str">
        <f t="shared" si="63"/>
        <v>-</v>
      </c>
      <c r="AT118" s="412"/>
      <c r="AU118" s="418"/>
      <c r="AV118" s="412"/>
      <c r="AW118" s="415"/>
      <c r="AX118" s="412"/>
      <c r="AY118" s="422"/>
      <c r="AZ118" s="5">
        <v>802</v>
      </c>
      <c r="BA118" s="9">
        <f t="shared" si="48"/>
        <v>0.40949033391915646</v>
      </c>
      <c r="BB118" s="5"/>
      <c r="BC118" s="74"/>
    </row>
    <row r="119" spans="1:55" s="157" customFormat="1" ht="12" customHeight="1">
      <c r="A119" s="458"/>
      <c r="B119" s="73" t="s">
        <v>24</v>
      </c>
      <c r="C119" s="68">
        <v>1221491</v>
      </c>
      <c r="D119" s="9">
        <f t="shared" si="54"/>
        <v>0.10116355486881949</v>
      </c>
      <c r="E119" s="178"/>
      <c r="F119" s="68">
        <v>211465</v>
      </c>
      <c r="G119" s="9">
        <f t="shared" si="72"/>
        <v>0.39001912825130974</v>
      </c>
      <c r="H119" s="77">
        <v>338400</v>
      </c>
      <c r="I119" s="9">
        <f t="shared" si="75"/>
        <v>-2.5345622119815669E-2</v>
      </c>
      <c r="J119" s="68">
        <v>21165</v>
      </c>
      <c r="K119" s="9">
        <f t="shared" si="73"/>
        <v>6.726841813322576E-2</v>
      </c>
      <c r="L119" s="75">
        <v>77314</v>
      </c>
      <c r="M119" s="76">
        <f t="shared" si="59"/>
        <v>2.1806935927257347E-2</v>
      </c>
      <c r="N119" s="68">
        <v>95099</v>
      </c>
      <c r="O119" s="9">
        <f t="shared" si="68"/>
        <v>6.8156035538183335E-2</v>
      </c>
      <c r="P119" s="68">
        <v>54673</v>
      </c>
      <c r="Q119" s="9">
        <f t="shared" si="69"/>
        <v>0.16516420518722152</v>
      </c>
      <c r="R119" s="75">
        <v>33570</v>
      </c>
      <c r="S119" s="37">
        <f t="shared" si="60"/>
        <v>0.126812567132116</v>
      </c>
      <c r="T119" s="68">
        <v>36409</v>
      </c>
      <c r="U119" s="9">
        <f t="shared" si="70"/>
        <v>5.8585799848810842E-2</v>
      </c>
      <c r="V119" s="68">
        <v>745</v>
      </c>
      <c r="W119" s="9">
        <f t="shared" si="71"/>
        <v>0.72055427251732107</v>
      </c>
      <c r="X119" s="68">
        <v>95893</v>
      </c>
      <c r="Y119" s="9">
        <f t="shared" si="74"/>
        <v>0.23708959556214926</v>
      </c>
      <c r="Z119" s="38">
        <v>24331</v>
      </c>
      <c r="AA119" s="428"/>
      <c r="AB119" s="5">
        <v>26976</v>
      </c>
      <c r="AC119" s="74">
        <f t="shared" si="56"/>
        <v>0.15916122378824338</v>
      </c>
      <c r="AD119" s="68">
        <v>16624</v>
      </c>
      <c r="AE119" s="9">
        <f t="shared" si="66"/>
        <v>-0.28532737199604491</v>
      </c>
      <c r="AF119" s="68">
        <v>1800</v>
      </c>
      <c r="AG119" s="9">
        <f t="shared" ref="AG119:AG125" si="76">(AF119/AF107-1)</f>
        <v>-0.21739130434782605</v>
      </c>
      <c r="AH119" s="68">
        <v>14907</v>
      </c>
      <c r="AI119" s="9">
        <f t="shared" si="64"/>
        <v>0.11721501911114442</v>
      </c>
      <c r="AJ119" s="426"/>
      <c r="AK119" s="427"/>
      <c r="AL119" s="68">
        <v>2452</v>
      </c>
      <c r="AM119" s="37">
        <f t="shared" si="40"/>
        <v>3.9864291772688798E-2</v>
      </c>
      <c r="AN119" s="412"/>
      <c r="AO119" s="473"/>
      <c r="AP119" s="426"/>
      <c r="AQ119" s="415"/>
      <c r="AR119" s="68">
        <v>0</v>
      </c>
      <c r="AS119" s="195" t="str">
        <f t="shared" si="63"/>
        <v>-</v>
      </c>
      <c r="AT119" s="412"/>
      <c r="AU119" s="418"/>
      <c r="AV119" s="412"/>
      <c r="AW119" s="415"/>
      <c r="AX119" s="412"/>
      <c r="AY119" s="422"/>
      <c r="AZ119" s="68">
        <v>849</v>
      </c>
      <c r="BA119" s="9">
        <f t="shared" si="48"/>
        <v>-0.2344454463480613</v>
      </c>
      <c r="BB119" s="68"/>
      <c r="BC119" s="74"/>
    </row>
    <row r="120" spans="1:55" s="157" customFormat="1" ht="12" customHeight="1">
      <c r="A120" s="458"/>
      <c r="B120" s="15" t="s">
        <v>25</v>
      </c>
      <c r="C120" s="5">
        <v>1417422</v>
      </c>
      <c r="D120" s="9">
        <f t="shared" si="54"/>
        <v>8.5799337836616321E-2</v>
      </c>
      <c r="E120" s="178"/>
      <c r="F120" s="5">
        <v>243992</v>
      </c>
      <c r="G120" s="9">
        <f t="shared" si="72"/>
        <v>0.28619248185302132</v>
      </c>
      <c r="H120" s="5">
        <v>356100</v>
      </c>
      <c r="I120" s="9">
        <f t="shared" si="75"/>
        <v>-3.5743298131600328E-2</v>
      </c>
      <c r="J120" s="5">
        <v>23025</v>
      </c>
      <c r="K120" s="9">
        <f t="shared" si="73"/>
        <v>0.2133747892074199</v>
      </c>
      <c r="L120" s="53">
        <v>84779</v>
      </c>
      <c r="M120" s="76">
        <f t="shared" si="59"/>
        <v>-3.929878636100944E-2</v>
      </c>
      <c r="N120" s="5">
        <v>114145</v>
      </c>
      <c r="O120" s="9">
        <f t="shared" si="68"/>
        <v>8.7841186337297955E-2</v>
      </c>
      <c r="P120" s="5">
        <v>53269</v>
      </c>
      <c r="Q120" s="9">
        <f t="shared" si="69"/>
        <v>4.2956436612824334E-2</v>
      </c>
      <c r="R120" s="53">
        <v>38416</v>
      </c>
      <c r="S120" s="37">
        <f t="shared" si="60"/>
        <v>6.6222592284207599E-2</v>
      </c>
      <c r="T120" s="5">
        <v>41913</v>
      </c>
      <c r="U120" s="9">
        <f t="shared" si="70"/>
        <v>-1.4368356692691186E-2</v>
      </c>
      <c r="V120" s="5">
        <v>1149</v>
      </c>
      <c r="W120" s="9">
        <f t="shared" si="71"/>
        <v>0.28093645484949831</v>
      </c>
      <c r="X120" s="5">
        <v>121716</v>
      </c>
      <c r="Y120" s="9">
        <f t="shared" si="74"/>
        <v>0.1773992280681389</v>
      </c>
      <c r="Z120" s="38">
        <v>43709</v>
      </c>
      <c r="AA120" s="428"/>
      <c r="AB120" s="5">
        <v>29417</v>
      </c>
      <c r="AC120" s="74">
        <f t="shared" si="56"/>
        <v>4.0241875596732646E-2</v>
      </c>
      <c r="AD120" s="5">
        <v>31270</v>
      </c>
      <c r="AE120" s="9">
        <f t="shared" si="66"/>
        <v>-3.266720287075419E-2</v>
      </c>
      <c r="AF120" s="5">
        <v>1700</v>
      </c>
      <c r="AG120" s="9">
        <f t="shared" si="76"/>
        <v>-0.10526315789473684</v>
      </c>
      <c r="AH120" s="5">
        <v>15200</v>
      </c>
      <c r="AI120" s="9">
        <f t="shared" si="64"/>
        <v>-4.7499686677528512E-2</v>
      </c>
      <c r="AJ120" s="426">
        <f>38803-AJ117-AJ114</f>
        <v>22949</v>
      </c>
      <c r="AK120" s="427">
        <f>(AJ120/AJ108-1)</f>
        <v>-1.80985794968338E-2</v>
      </c>
      <c r="AL120" s="5">
        <v>2031</v>
      </c>
      <c r="AM120" s="37">
        <f t="shared" si="40"/>
        <v>0.3379446640316206</v>
      </c>
      <c r="AN120" s="412"/>
      <c r="AO120" s="473"/>
      <c r="AP120" s="426"/>
      <c r="AQ120" s="415"/>
      <c r="AR120" s="5">
        <v>0</v>
      </c>
      <c r="AS120" s="195">
        <f t="shared" si="63"/>
        <v>-1</v>
      </c>
      <c r="AT120" s="412"/>
      <c r="AU120" s="418"/>
      <c r="AV120" s="412"/>
      <c r="AW120" s="415"/>
      <c r="AX120" s="412"/>
      <c r="AY120" s="422"/>
      <c r="AZ120" s="5">
        <v>1457</v>
      </c>
      <c r="BA120" s="9">
        <f t="shared" si="48"/>
        <v>9.0027700831025737E-3</v>
      </c>
      <c r="BB120" s="5"/>
      <c r="BC120" s="74"/>
    </row>
    <row r="121" spans="1:55" s="157" customFormat="1">
      <c r="A121" s="458"/>
      <c r="B121" s="73" t="s">
        <v>26</v>
      </c>
      <c r="C121" s="68">
        <v>1407186</v>
      </c>
      <c r="D121" s="9">
        <f t="shared" si="54"/>
        <v>5.4347541042564687E-2</v>
      </c>
      <c r="E121" s="178"/>
      <c r="F121" s="68">
        <v>215498</v>
      </c>
      <c r="G121" s="9">
        <f t="shared" si="72"/>
        <v>6.8069625899565833E-2</v>
      </c>
      <c r="H121" s="68">
        <v>392300</v>
      </c>
      <c r="I121" s="9">
        <f t="shared" si="75"/>
        <v>-2.7516113039167081E-2</v>
      </c>
      <c r="J121" s="68">
        <v>29455</v>
      </c>
      <c r="K121" s="9">
        <f t="shared" si="73"/>
        <v>0.36580728925159972</v>
      </c>
      <c r="L121" s="75">
        <v>104085</v>
      </c>
      <c r="M121" s="76">
        <f t="shared" si="59"/>
        <v>-4.5984491576689705E-2</v>
      </c>
      <c r="N121" s="68">
        <v>128162</v>
      </c>
      <c r="O121" s="9">
        <f t="shared" si="68"/>
        <v>6.3152742868045356E-2</v>
      </c>
      <c r="P121" s="68">
        <v>65153</v>
      </c>
      <c r="Q121" s="9">
        <f t="shared" si="69"/>
        <v>9.953590414311031E-2</v>
      </c>
      <c r="R121" s="75">
        <v>48395</v>
      </c>
      <c r="S121" s="37">
        <f t="shared" si="60"/>
        <v>7.4945352347246799E-3</v>
      </c>
      <c r="T121" s="68">
        <v>45986</v>
      </c>
      <c r="U121" s="9">
        <f t="shared" si="70"/>
        <v>-2.9483147964459826E-2</v>
      </c>
      <c r="V121" s="68">
        <v>1202</v>
      </c>
      <c r="W121" s="9">
        <f t="shared" si="71"/>
        <v>0.69774011299435024</v>
      </c>
      <c r="X121" s="68">
        <v>115130</v>
      </c>
      <c r="Y121" s="9">
        <f t="shared" si="74"/>
        <v>0.13921295059419569</v>
      </c>
      <c r="Z121" s="83">
        <v>13203</v>
      </c>
      <c r="AA121" s="81">
        <f>(Z121/Z109-1)</f>
        <v>-0.5726492960025894</v>
      </c>
      <c r="AB121" s="68">
        <v>28129</v>
      </c>
      <c r="AC121" s="74">
        <f t="shared" si="56"/>
        <v>0.16120376486129451</v>
      </c>
      <c r="AD121" s="68">
        <v>22317</v>
      </c>
      <c r="AE121" s="9">
        <f t="shared" si="66"/>
        <v>-0.1855703963214364</v>
      </c>
      <c r="AF121" s="68">
        <v>1900</v>
      </c>
      <c r="AG121" s="9">
        <f t="shared" si="76"/>
        <v>5.555555555555558E-2</v>
      </c>
      <c r="AH121" s="68">
        <v>17379</v>
      </c>
      <c r="AI121" s="9">
        <f t="shared" ref="AI121:AI126" si="77">(AH121-AH109)/AH109</f>
        <v>0.17991717020843234</v>
      </c>
      <c r="AJ121" s="426"/>
      <c r="AK121" s="427"/>
      <c r="AL121" s="68">
        <v>1998</v>
      </c>
      <c r="AM121" s="37">
        <f t="shared" si="40"/>
        <v>0.66917293233082709</v>
      </c>
      <c r="AN121" s="412"/>
      <c r="AO121" s="473"/>
      <c r="AP121" s="426"/>
      <c r="AQ121" s="415"/>
      <c r="AR121" s="68">
        <v>0</v>
      </c>
      <c r="AS121" s="195" t="str">
        <f t="shared" si="63"/>
        <v>-</v>
      </c>
      <c r="AT121" s="412"/>
      <c r="AU121" s="418"/>
      <c r="AV121" s="412"/>
      <c r="AW121" s="415"/>
      <c r="AX121" s="412"/>
      <c r="AY121" s="422"/>
      <c r="AZ121" s="68">
        <v>1419</v>
      </c>
      <c r="BA121" s="9">
        <f t="shared" si="48"/>
        <v>-6.9979006298110935E-3</v>
      </c>
      <c r="BB121" s="68"/>
      <c r="BC121" s="74"/>
    </row>
    <row r="122" spans="1:55" s="157" customFormat="1">
      <c r="A122" s="458"/>
      <c r="B122" s="73" t="s">
        <v>27</v>
      </c>
      <c r="C122" s="68">
        <v>1195238</v>
      </c>
      <c r="D122" s="9">
        <f t="shared" si="54"/>
        <v>0.12789265732385022</v>
      </c>
      <c r="E122" s="178"/>
      <c r="F122" s="68">
        <v>164499</v>
      </c>
      <c r="G122" s="9">
        <f t="shared" si="72"/>
        <v>0.12870003156262436</v>
      </c>
      <c r="H122" s="68">
        <v>338600</v>
      </c>
      <c r="I122" s="9">
        <f t="shared" si="75"/>
        <v>6.0776942355889721E-2</v>
      </c>
      <c r="J122" s="68">
        <v>30379</v>
      </c>
      <c r="K122" s="9">
        <f t="shared" si="73"/>
        <v>0.56278615155100575</v>
      </c>
      <c r="L122" s="75">
        <v>85660</v>
      </c>
      <c r="M122" s="76">
        <f t="shared" si="59"/>
        <v>0.11426192830011968</v>
      </c>
      <c r="N122" s="68">
        <v>94266</v>
      </c>
      <c r="O122" s="9">
        <f t="shared" si="68"/>
        <v>0.11867182493532386</v>
      </c>
      <c r="P122" s="68">
        <v>57784</v>
      </c>
      <c r="Q122" s="9">
        <f t="shared" si="69"/>
        <v>0.25051939058171735</v>
      </c>
      <c r="R122" s="75">
        <v>37776</v>
      </c>
      <c r="S122" s="37">
        <f t="shared" si="60"/>
        <v>0.15930642933865274</v>
      </c>
      <c r="T122" s="68">
        <v>35599</v>
      </c>
      <c r="U122" s="9">
        <f t="shared" si="70"/>
        <v>0.13927737062758025</v>
      </c>
      <c r="V122" s="68">
        <v>699</v>
      </c>
      <c r="W122" s="9">
        <f t="shared" si="71"/>
        <v>0.73019801980198018</v>
      </c>
      <c r="X122" s="68">
        <v>86753</v>
      </c>
      <c r="Y122" s="9">
        <f t="shared" si="74"/>
        <v>0.17559455247645506</v>
      </c>
      <c r="Z122" s="75">
        <v>21441</v>
      </c>
      <c r="AA122" s="81">
        <f>(Z122/Z110-1)</f>
        <v>0.10863495346432273</v>
      </c>
      <c r="AB122" s="68">
        <v>26866</v>
      </c>
      <c r="AC122" s="74">
        <f t="shared" si="56"/>
        <v>0.20265007386185596</v>
      </c>
      <c r="AD122" s="68">
        <v>20174</v>
      </c>
      <c r="AE122" s="9">
        <f>(AD122-AD110)/AD110</f>
        <v>-9.8570151921358359E-2</v>
      </c>
      <c r="AF122" s="68">
        <v>1700</v>
      </c>
      <c r="AG122" s="9">
        <f t="shared" si="76"/>
        <v>0</v>
      </c>
      <c r="AH122" s="68">
        <v>17360</v>
      </c>
      <c r="AI122" s="9">
        <f t="shared" si="77"/>
        <v>0.40226171243941844</v>
      </c>
      <c r="AJ122" s="426"/>
      <c r="AK122" s="427"/>
      <c r="AL122" s="68">
        <v>2574</v>
      </c>
      <c r="AM122" s="37">
        <f t="shared" si="40"/>
        <v>0.12303664921465973</v>
      </c>
      <c r="AN122" s="412"/>
      <c r="AO122" s="473"/>
      <c r="AP122" s="426"/>
      <c r="AQ122" s="415"/>
      <c r="AR122" s="68">
        <v>0</v>
      </c>
      <c r="AS122" s="195" t="str">
        <f t="shared" si="63"/>
        <v>-</v>
      </c>
      <c r="AT122" s="412"/>
      <c r="AU122" s="418"/>
      <c r="AV122" s="412"/>
      <c r="AW122" s="415"/>
      <c r="AX122" s="412"/>
      <c r="AY122" s="422"/>
      <c r="AZ122" s="143" t="s">
        <v>201</v>
      </c>
      <c r="BA122" s="195" t="s">
        <v>201</v>
      </c>
      <c r="BB122" s="68"/>
      <c r="BC122" s="74"/>
    </row>
    <row r="123" spans="1:55" s="157" customFormat="1">
      <c r="A123" s="458"/>
      <c r="B123" s="15" t="s">
        <v>28</v>
      </c>
      <c r="C123" s="5">
        <v>1239143</v>
      </c>
      <c r="D123" s="9">
        <f t="shared" si="54"/>
        <v>7.3090785647356729E-2</v>
      </c>
      <c r="E123" s="178"/>
      <c r="F123" s="5">
        <v>158273</v>
      </c>
      <c r="G123" s="9">
        <f t="shared" si="72"/>
        <v>-5.8739220933690155E-2</v>
      </c>
      <c r="H123" s="5">
        <v>391800</v>
      </c>
      <c r="I123" s="9">
        <f t="shared" si="75"/>
        <v>5.2659860290166574E-2</v>
      </c>
      <c r="J123" s="5">
        <v>37295</v>
      </c>
      <c r="K123" s="9">
        <f t="shared" si="73"/>
        <v>0.78967320888718273</v>
      </c>
      <c r="L123" s="53">
        <v>91672</v>
      </c>
      <c r="M123" s="76">
        <f t="shared" si="59"/>
        <v>0.10119162021910437</v>
      </c>
      <c r="N123" s="5">
        <v>110509</v>
      </c>
      <c r="O123" s="9">
        <f t="shared" si="68"/>
        <v>0.13547531955118983</v>
      </c>
      <c r="P123" s="68">
        <v>56628</v>
      </c>
      <c r="Q123" s="9">
        <f t="shared" si="69"/>
        <v>0.13951101720495029</v>
      </c>
      <c r="R123" s="53">
        <v>38632</v>
      </c>
      <c r="S123" s="37">
        <f t="shared" si="60"/>
        <v>0.11970320561126892</v>
      </c>
      <c r="T123" s="5">
        <v>40157</v>
      </c>
      <c r="U123" s="9">
        <f t="shared" si="70"/>
        <v>0.15686218022585849</v>
      </c>
      <c r="V123" s="5">
        <v>1161</v>
      </c>
      <c r="W123" s="9">
        <f t="shared" si="71"/>
        <v>1.3266533066132264</v>
      </c>
      <c r="X123" s="5">
        <v>81605</v>
      </c>
      <c r="Y123" s="9">
        <f t="shared" si="74"/>
        <v>2.6232724254580564E-2</v>
      </c>
      <c r="Z123" s="53">
        <v>29676</v>
      </c>
      <c r="AA123" s="81">
        <f>(Z123/Z111-1)</f>
        <v>-4.6768598226904823E-2</v>
      </c>
      <c r="AB123" s="5">
        <v>28055</v>
      </c>
      <c r="AC123" s="74">
        <f t="shared" si="56"/>
        <v>0.1364741148829296</v>
      </c>
      <c r="AD123" s="5">
        <v>21125</v>
      </c>
      <c r="AE123" s="9">
        <f>(AD123-AD111)/AD111</f>
        <v>0.15626710454296661</v>
      </c>
      <c r="AF123" s="5">
        <v>2500</v>
      </c>
      <c r="AG123" s="9">
        <f t="shared" si="76"/>
        <v>8.6956521739130377E-2</v>
      </c>
      <c r="AH123" s="5">
        <v>15942</v>
      </c>
      <c r="AI123" s="9">
        <f t="shared" si="77"/>
        <v>0.1356318563897991</v>
      </c>
      <c r="AJ123" s="426">
        <f>45178-AJ120-AJ117-AJ114</f>
        <v>6375</v>
      </c>
      <c r="AK123" s="456">
        <f>(AJ123/AJ111-1)</f>
        <v>0.13393810032017073</v>
      </c>
      <c r="AL123" s="5">
        <v>4239</v>
      </c>
      <c r="AM123" s="37">
        <f t="shared" si="40"/>
        <v>0.39257555847568981</v>
      </c>
      <c r="AN123" s="412"/>
      <c r="AO123" s="473"/>
      <c r="AP123" s="426"/>
      <c r="AQ123" s="415"/>
      <c r="AR123" s="5">
        <v>0</v>
      </c>
      <c r="AS123" s="195" t="str">
        <f t="shared" si="63"/>
        <v>-</v>
      </c>
      <c r="AT123" s="412"/>
      <c r="AU123" s="418"/>
      <c r="AV123" s="412"/>
      <c r="AW123" s="415"/>
      <c r="AX123" s="412"/>
      <c r="AY123" s="422"/>
      <c r="AZ123" s="143" t="s">
        <v>201</v>
      </c>
      <c r="BA123" s="195" t="s">
        <v>201</v>
      </c>
      <c r="BB123" s="5"/>
      <c r="BC123" s="74"/>
    </row>
    <row r="124" spans="1:55" s="157" customFormat="1">
      <c r="A124" s="458"/>
      <c r="B124" s="15" t="s">
        <v>29</v>
      </c>
      <c r="C124" s="5">
        <v>1154064</v>
      </c>
      <c r="D124" s="9">
        <f t="shared" si="54"/>
        <v>3.2673258467182678E-2</v>
      </c>
      <c r="E124" s="178"/>
      <c r="F124" s="5">
        <v>170901</v>
      </c>
      <c r="G124" s="9">
        <f t="shared" si="72"/>
        <v>-6.8948609968565625E-2</v>
      </c>
      <c r="H124" s="5">
        <v>312700</v>
      </c>
      <c r="I124" s="9">
        <f t="shared" ref="I124:I139" si="78">(H124-H112)/H112</f>
        <v>-2.5518341307814991E-3</v>
      </c>
      <c r="J124" s="5">
        <v>40717</v>
      </c>
      <c r="K124" s="9">
        <f t="shared" si="73"/>
        <v>0.77022738141819924</v>
      </c>
      <c r="L124" s="53">
        <v>95232</v>
      </c>
      <c r="M124" s="76">
        <f t="shared" si="59"/>
        <v>9.6624866134659898E-2</v>
      </c>
      <c r="N124" s="5">
        <v>113658</v>
      </c>
      <c r="O124" s="9">
        <f t="shared" si="68"/>
        <v>3.4787912998352107E-2</v>
      </c>
      <c r="P124" s="5">
        <v>64161</v>
      </c>
      <c r="Q124" s="9">
        <f t="shared" si="69"/>
        <v>7.3393114062970444E-2</v>
      </c>
      <c r="R124" s="53">
        <v>38505</v>
      </c>
      <c r="S124" s="37">
        <f t="shared" si="60"/>
        <v>0.11010205846739318</v>
      </c>
      <c r="T124" s="5">
        <v>40388</v>
      </c>
      <c r="U124" s="9">
        <f t="shared" si="70"/>
        <v>0.18746324826531813</v>
      </c>
      <c r="V124" s="5">
        <v>1224</v>
      </c>
      <c r="W124" s="9">
        <f t="shared" si="71"/>
        <v>0.40528128587830081</v>
      </c>
      <c r="X124" s="5">
        <v>78863</v>
      </c>
      <c r="Y124" s="9">
        <f t="shared" si="74"/>
        <v>-0.12038235031676636</v>
      </c>
      <c r="Z124" s="53">
        <v>34822</v>
      </c>
      <c r="AA124" s="81">
        <f>(Z124/Z112-1)</f>
        <v>0.15079810965332618</v>
      </c>
      <c r="AB124" s="5">
        <v>27866</v>
      </c>
      <c r="AC124" s="74">
        <f t="shared" si="56"/>
        <v>9.7432262129804714E-2</v>
      </c>
      <c r="AD124" s="5">
        <v>21018</v>
      </c>
      <c r="AE124" s="9">
        <f>(AD124-AD112)/AD112</f>
        <v>-6.457786283323691E-2</v>
      </c>
      <c r="AF124" s="5">
        <v>2300</v>
      </c>
      <c r="AG124" s="9">
        <f t="shared" si="76"/>
        <v>9.5238095238095344E-2</v>
      </c>
      <c r="AH124" s="5">
        <v>14298</v>
      </c>
      <c r="AI124" s="9">
        <f t="shared" si="77"/>
        <v>0.201209779047299</v>
      </c>
      <c r="AJ124" s="426"/>
      <c r="AK124" s="456"/>
      <c r="AL124" s="5">
        <v>3851</v>
      </c>
      <c r="AM124" s="37">
        <f t="shared" si="40"/>
        <v>0.36608726498758415</v>
      </c>
      <c r="AN124" s="412"/>
      <c r="AO124" s="473"/>
      <c r="AP124" s="426"/>
      <c r="AQ124" s="415"/>
      <c r="AR124" s="5">
        <v>0</v>
      </c>
      <c r="AS124" s="195" t="str">
        <f t="shared" si="63"/>
        <v>-</v>
      </c>
      <c r="AT124" s="412"/>
      <c r="AU124" s="418"/>
      <c r="AV124" s="412"/>
      <c r="AW124" s="415"/>
      <c r="AX124" s="412"/>
      <c r="AY124" s="422"/>
      <c r="AZ124" s="143" t="s">
        <v>201</v>
      </c>
      <c r="BA124" s="195" t="s">
        <v>201</v>
      </c>
      <c r="BB124" s="5"/>
      <c r="BC124" s="74"/>
    </row>
    <row r="125" spans="1:55" s="157" customFormat="1">
      <c r="A125" s="459"/>
      <c r="B125" s="15" t="s">
        <v>30</v>
      </c>
      <c r="C125" s="5">
        <v>1204463</v>
      </c>
      <c r="D125" s="9">
        <f t="shared" si="54"/>
        <v>2.9481952528697317E-2</v>
      </c>
      <c r="E125" s="178"/>
      <c r="F125" s="5">
        <v>182846</v>
      </c>
      <c r="G125" s="9">
        <f t="shared" si="72"/>
        <v>-8.5541385346336582E-2</v>
      </c>
      <c r="H125" s="5">
        <v>276800</v>
      </c>
      <c r="I125" s="9">
        <f t="shared" si="78"/>
        <v>-1.5647226173541962E-2</v>
      </c>
      <c r="J125" s="5">
        <v>44269</v>
      </c>
      <c r="K125" s="9">
        <f t="shared" si="73"/>
        <v>0.81244626407369502</v>
      </c>
      <c r="L125" s="53">
        <v>107282</v>
      </c>
      <c r="M125" s="76">
        <f t="shared" si="59"/>
        <v>4.8443684339115563E-2</v>
      </c>
      <c r="N125" s="5">
        <v>114468</v>
      </c>
      <c r="O125" s="9">
        <f t="shared" si="68"/>
        <v>1.3349858356940509E-2</v>
      </c>
      <c r="P125" s="5">
        <v>65862</v>
      </c>
      <c r="Q125" s="9">
        <f t="shared" si="69"/>
        <v>1.3604604635415019E-2</v>
      </c>
      <c r="R125" s="53">
        <v>46412</v>
      </c>
      <c r="S125" s="37">
        <f t="shared" si="60"/>
        <v>5.1234428086070212E-2</v>
      </c>
      <c r="T125" s="5">
        <v>35986</v>
      </c>
      <c r="U125" s="74">
        <f t="shared" si="70"/>
        <v>0.15310176877723661</v>
      </c>
      <c r="V125" s="5">
        <v>1154</v>
      </c>
      <c r="W125" s="9">
        <f>(V125-V113)/V113</f>
        <v>0.24756756756756756</v>
      </c>
      <c r="X125" s="5">
        <v>96440</v>
      </c>
      <c r="Y125" s="9">
        <f t="shared" si="74"/>
        <v>-0.11573233573563657</v>
      </c>
      <c r="Z125" s="53">
        <v>52573</v>
      </c>
      <c r="AA125" s="74">
        <f t="shared" ref="AA125:AA160" si="79">Z125/Z113-1</f>
        <v>0.20718714121699189</v>
      </c>
      <c r="AB125" s="5">
        <v>29139</v>
      </c>
      <c r="AC125" s="74">
        <f t="shared" si="56"/>
        <v>0.20027186225645677</v>
      </c>
      <c r="AD125" s="5">
        <v>25502</v>
      </c>
      <c r="AE125" s="9">
        <f>(AD125/AD113-1)</f>
        <v>0.11474406609258203</v>
      </c>
      <c r="AF125" s="5">
        <v>1400</v>
      </c>
      <c r="AG125" s="9">
        <f t="shared" si="76"/>
        <v>7.6923076923076872E-2</v>
      </c>
      <c r="AH125" s="5">
        <v>13921</v>
      </c>
      <c r="AI125" s="9">
        <f t="shared" si="77"/>
        <v>0.24472460658082976</v>
      </c>
      <c r="AJ125" s="426"/>
      <c r="AK125" s="456"/>
      <c r="AL125" s="5">
        <v>3521</v>
      </c>
      <c r="AM125" s="45">
        <f t="shared" si="40"/>
        <v>0.46160232461602324</v>
      </c>
      <c r="AN125" s="412"/>
      <c r="AO125" s="473"/>
      <c r="AP125" s="433"/>
      <c r="AQ125" s="416"/>
      <c r="AR125" s="5">
        <v>0</v>
      </c>
      <c r="AS125" s="195" t="str">
        <f t="shared" si="63"/>
        <v>-</v>
      </c>
      <c r="AT125" s="413"/>
      <c r="AU125" s="419"/>
      <c r="AV125" s="413"/>
      <c r="AW125" s="416"/>
      <c r="AX125" s="413"/>
      <c r="AY125" s="423"/>
      <c r="AZ125" s="205" t="s">
        <v>201</v>
      </c>
      <c r="BA125" s="204" t="s">
        <v>201</v>
      </c>
      <c r="BB125" s="5"/>
      <c r="BC125" s="74"/>
    </row>
    <row r="126" spans="1:55" s="157" customFormat="1">
      <c r="A126" s="457" t="s">
        <v>156</v>
      </c>
      <c r="B126" s="2" t="s">
        <v>155</v>
      </c>
      <c r="C126" s="25">
        <v>1468903</v>
      </c>
      <c r="D126" s="24">
        <f>(C126-C114)/C114</f>
        <v>3.0158496388246019E-2</v>
      </c>
      <c r="E126" s="178"/>
      <c r="F126" s="25">
        <v>255517</v>
      </c>
      <c r="G126" s="24">
        <f>(F126-F114)/F114</f>
        <v>8.9829221687651409E-2</v>
      </c>
      <c r="H126" s="25">
        <v>294000</v>
      </c>
      <c r="I126" s="24">
        <f t="shared" si="78"/>
        <v>-8.8372093023255813E-2</v>
      </c>
      <c r="J126" s="25">
        <v>59401</v>
      </c>
      <c r="K126" s="24">
        <f t="shared" si="73"/>
        <v>0.90822063028044586</v>
      </c>
      <c r="L126" s="25">
        <v>126829</v>
      </c>
      <c r="M126" s="24">
        <f>(L126-L114)/L114</f>
        <v>0.13150264521942384</v>
      </c>
      <c r="N126" s="25">
        <v>135598</v>
      </c>
      <c r="O126" s="24">
        <f t="shared" si="68"/>
        <v>-5.7030994652257666E-2</v>
      </c>
      <c r="P126" s="25">
        <v>65862</v>
      </c>
      <c r="Q126" s="28">
        <f>(P126-P114)/P114</f>
        <v>-0.21856127570209888</v>
      </c>
      <c r="R126" s="25">
        <v>59143</v>
      </c>
      <c r="S126" s="28">
        <f t="shared" si="60"/>
        <v>0.12293992557150452</v>
      </c>
      <c r="T126" s="259">
        <v>59745</v>
      </c>
      <c r="U126" s="24">
        <f t="shared" si="70"/>
        <v>0.1231741018555073</v>
      </c>
      <c r="V126" s="25">
        <v>1807</v>
      </c>
      <c r="W126" s="28">
        <f>(V126-V114)/V114</f>
        <v>0.26452064380685797</v>
      </c>
      <c r="X126" s="25">
        <v>118308</v>
      </c>
      <c r="Y126" s="24">
        <f t="shared" si="74"/>
        <v>-0.12360549357749229</v>
      </c>
      <c r="Z126" s="25">
        <v>77137</v>
      </c>
      <c r="AA126" s="88">
        <f t="shared" si="79"/>
        <v>8.9967500353256957E-2</v>
      </c>
      <c r="AB126" s="25">
        <v>33106</v>
      </c>
      <c r="AC126" s="24">
        <f t="shared" ref="AC126:AC146" si="80">(AB126/AB114-1)</f>
        <v>4.4089819603885472E-2</v>
      </c>
      <c r="AD126" s="25">
        <v>42207</v>
      </c>
      <c r="AE126" s="24">
        <f>(AD126-AD114)/AD114</f>
        <v>0.35374302392712809</v>
      </c>
      <c r="AF126" s="25">
        <v>3700</v>
      </c>
      <c r="AG126" s="24">
        <f>(AF126/AF114-1)</f>
        <v>0</v>
      </c>
      <c r="AH126" s="25">
        <v>20035</v>
      </c>
      <c r="AI126" s="24">
        <f t="shared" si="77"/>
        <v>0.21203871748336359</v>
      </c>
      <c r="AJ126" s="411">
        <v>6112</v>
      </c>
      <c r="AK126" s="455">
        <f>(AJ126/AJ114-1)</f>
        <v>0.13711627906976753</v>
      </c>
      <c r="AL126" s="25">
        <v>2164</v>
      </c>
      <c r="AM126" s="37">
        <f t="shared" si="40"/>
        <v>0.53475177304964538</v>
      </c>
      <c r="AN126" s="411">
        <v>58472</v>
      </c>
      <c r="AO126" s="421">
        <f>AN126/SUM(AN114:AN125)-1</f>
        <v>6.4404558197109329E-2</v>
      </c>
      <c r="AP126" s="440">
        <v>106870</v>
      </c>
      <c r="AQ126" s="414">
        <f>(AP126/AP114-1)</f>
        <v>-5.1048224544703813E-2</v>
      </c>
      <c r="AR126" s="25">
        <v>0</v>
      </c>
      <c r="AS126" s="138" t="str">
        <f t="shared" si="63"/>
        <v>-</v>
      </c>
      <c r="AT126" s="411">
        <v>858</v>
      </c>
      <c r="AU126" s="417">
        <f>AT126/AT114-1</f>
        <v>0.43959731543624159</v>
      </c>
      <c r="AV126" s="411">
        <v>15366</v>
      </c>
      <c r="AW126" s="414">
        <f>AV126/AV114-1</f>
        <v>-0.17754108012631808</v>
      </c>
      <c r="AX126" s="411">
        <v>96085</v>
      </c>
      <c r="AY126" s="421">
        <f>(AX126/AX114-1)</f>
        <v>0.17464761182899546</v>
      </c>
      <c r="AZ126" s="143">
        <v>691</v>
      </c>
      <c r="BA126" s="219">
        <f t="shared" ref="BA126:BA133" si="81">(AZ126/AZ114-1)</f>
        <v>-0.78836140888208273</v>
      </c>
      <c r="BB126" s="25"/>
      <c r="BC126" s="237"/>
    </row>
    <row r="127" spans="1:55" s="157" customFormat="1">
      <c r="A127" s="458"/>
      <c r="B127" s="15" t="s">
        <v>153</v>
      </c>
      <c r="C127" s="3">
        <v>1312683</v>
      </c>
      <c r="D127" s="9">
        <f t="shared" ref="D127:D137" si="82">C127/C115-1</f>
        <v>0.10792981472931884</v>
      </c>
      <c r="E127" s="178"/>
      <c r="F127" s="5">
        <v>231502</v>
      </c>
      <c r="G127" s="9">
        <f t="shared" ref="G127:G133" si="83">F127/F115-1</f>
        <v>-1.2321344767268205E-2</v>
      </c>
      <c r="H127" s="3">
        <v>321100</v>
      </c>
      <c r="I127" s="9">
        <f t="shared" si="78"/>
        <v>0.14311142755428979</v>
      </c>
      <c r="J127" s="3">
        <v>49583</v>
      </c>
      <c r="K127" s="9">
        <f t="shared" ref="K127:K149" si="84">J127/J115-1</f>
        <v>1.0549131750176137</v>
      </c>
      <c r="L127" s="7">
        <v>111257</v>
      </c>
      <c r="M127" s="9">
        <f t="shared" ref="M127:M148" si="85">L127/L115-1</f>
        <v>0.22632379524712309</v>
      </c>
      <c r="N127" s="3">
        <v>100650</v>
      </c>
      <c r="O127" s="9">
        <f t="shared" ref="O127:O149" si="86">N127/N115-1</f>
        <v>-9.1065074864088769E-2</v>
      </c>
      <c r="P127" s="3">
        <v>86616</v>
      </c>
      <c r="Q127" s="9">
        <f t="shared" ref="Q127:Q149" si="87">P127/P115-1</f>
        <v>0.19721346823685515</v>
      </c>
      <c r="R127" s="7">
        <v>52427</v>
      </c>
      <c r="S127" s="9">
        <f t="shared" ref="S127:S149" si="88">R127/R115-1</f>
        <v>0.33131030980192988</v>
      </c>
      <c r="T127" s="260">
        <v>51930</v>
      </c>
      <c r="U127" s="9">
        <f t="shared" si="70"/>
        <v>0.29085982748763328</v>
      </c>
      <c r="V127" s="3">
        <v>1263</v>
      </c>
      <c r="W127" s="9">
        <f t="shared" ref="W127:W149" si="89">V127/V115-1</f>
        <v>1.1927083333333335</v>
      </c>
      <c r="X127" s="3">
        <v>102523</v>
      </c>
      <c r="Y127" s="9">
        <f t="shared" si="74"/>
        <v>-3.3913797327604134E-2</v>
      </c>
      <c r="Z127" s="7">
        <v>64116</v>
      </c>
      <c r="AA127" s="76">
        <f t="shared" si="79"/>
        <v>0.29973646868031634</v>
      </c>
      <c r="AB127" s="3">
        <v>30182</v>
      </c>
      <c r="AC127" s="9">
        <f t="shared" si="80"/>
        <v>0.20179979294417461</v>
      </c>
      <c r="AD127" s="3">
        <v>35443</v>
      </c>
      <c r="AE127" s="9">
        <f t="shared" ref="AE127:AE159" si="90">AD127/AD115-1</f>
        <v>0.34269045724892977</v>
      </c>
      <c r="AF127" s="3">
        <v>4800</v>
      </c>
      <c r="AG127" s="9">
        <f t="shared" ref="AG127:AG149" si="91">AF127/AF115-1</f>
        <v>0.29729729729729737</v>
      </c>
      <c r="AH127" s="3">
        <v>19046</v>
      </c>
      <c r="AI127" s="9">
        <f t="shared" ref="AI127:AI149" si="92">AH127/AH115-1</f>
        <v>0.51954683261528634</v>
      </c>
      <c r="AJ127" s="412"/>
      <c r="AK127" s="430"/>
      <c r="AL127" s="3">
        <v>2171</v>
      </c>
      <c r="AM127" s="37">
        <f t="shared" si="40"/>
        <v>1.0676190476190475</v>
      </c>
      <c r="AN127" s="412"/>
      <c r="AO127" s="422"/>
      <c r="AP127" s="426"/>
      <c r="AQ127" s="415"/>
      <c r="AR127" s="5">
        <v>0</v>
      </c>
      <c r="AS127" s="402" t="str">
        <f t="shared" si="63"/>
        <v>-</v>
      </c>
      <c r="AT127" s="412"/>
      <c r="AU127" s="418"/>
      <c r="AV127" s="412"/>
      <c r="AW127" s="415"/>
      <c r="AX127" s="412"/>
      <c r="AY127" s="422"/>
      <c r="AZ127" s="143">
        <v>587</v>
      </c>
      <c r="BA127" s="219">
        <f t="shared" si="81"/>
        <v>-0.61758957654723123</v>
      </c>
      <c r="BB127" s="3"/>
      <c r="BC127" s="74"/>
    </row>
    <row r="128" spans="1:55" s="157" customFormat="1">
      <c r="A128" s="458"/>
      <c r="B128" s="15" t="s">
        <v>21</v>
      </c>
      <c r="C128" s="3">
        <v>1150959</v>
      </c>
      <c r="D128" s="9">
        <f t="shared" si="82"/>
        <v>3.3226924824004023E-2</v>
      </c>
      <c r="E128" s="178"/>
      <c r="F128" s="5">
        <v>192078</v>
      </c>
      <c r="G128" s="9">
        <f t="shared" si="83"/>
        <v>-7.1844829085848438E-2</v>
      </c>
      <c r="H128" s="3">
        <v>294500</v>
      </c>
      <c r="I128" s="9">
        <f t="shared" si="78"/>
        <v>-6.5079365079365084E-2</v>
      </c>
      <c r="J128" s="3">
        <v>43509</v>
      </c>
      <c r="K128" s="9">
        <f t="shared" si="84"/>
        <v>0.79403760514596744</v>
      </c>
      <c r="L128" s="7">
        <v>95394</v>
      </c>
      <c r="M128" s="9">
        <f t="shared" si="85"/>
        <v>0.1940070593536436</v>
      </c>
      <c r="N128" s="3">
        <v>79481</v>
      </c>
      <c r="O128" s="9">
        <f t="shared" si="86"/>
        <v>-0.18046461751028531</v>
      </c>
      <c r="P128" s="3">
        <v>69603</v>
      </c>
      <c r="Q128" s="9">
        <f t="shared" si="87"/>
        <v>2.7426378330503987E-2</v>
      </c>
      <c r="R128" s="7">
        <v>40625</v>
      </c>
      <c r="S128" s="9">
        <f t="shared" si="88"/>
        <v>0.10436035448268366</v>
      </c>
      <c r="T128" s="260">
        <v>40995</v>
      </c>
      <c r="U128" s="9">
        <f t="shared" si="70"/>
        <v>0.11535845463202285</v>
      </c>
      <c r="V128" s="3">
        <v>1033</v>
      </c>
      <c r="W128" s="9">
        <f t="shared" si="89"/>
        <v>-0.23424759080800595</v>
      </c>
      <c r="X128" s="3">
        <v>79408</v>
      </c>
      <c r="Y128" s="9">
        <f t="shared" si="74"/>
        <v>-9.0796674986832748E-2</v>
      </c>
      <c r="Z128" s="7">
        <v>36463</v>
      </c>
      <c r="AA128" s="76">
        <f t="shared" si="79"/>
        <v>-0.13123347072978964</v>
      </c>
      <c r="AB128" s="3">
        <v>25711</v>
      </c>
      <c r="AC128" s="9">
        <f t="shared" si="80"/>
        <v>2.5036877566479321E-2</v>
      </c>
      <c r="AD128" s="3">
        <v>31364</v>
      </c>
      <c r="AE128" s="9">
        <f t="shared" si="90"/>
        <v>0.43083941605839415</v>
      </c>
      <c r="AF128" s="3">
        <v>2500</v>
      </c>
      <c r="AG128" s="9">
        <f t="shared" si="91"/>
        <v>0.19047619047619047</v>
      </c>
      <c r="AH128" s="3">
        <v>19768</v>
      </c>
      <c r="AI128" s="9">
        <f t="shared" si="92"/>
        <v>0.39555241793152129</v>
      </c>
      <c r="AJ128" s="412"/>
      <c r="AK128" s="430"/>
      <c r="AL128" s="3">
        <v>2611</v>
      </c>
      <c r="AM128" s="37">
        <f t="shared" si="40"/>
        <v>0.38735387885228478</v>
      </c>
      <c r="AN128" s="412"/>
      <c r="AO128" s="422"/>
      <c r="AP128" s="426"/>
      <c r="AQ128" s="415"/>
      <c r="AR128" s="5">
        <v>0</v>
      </c>
      <c r="AS128" s="402" t="str">
        <f t="shared" si="63"/>
        <v>-</v>
      </c>
      <c r="AT128" s="412"/>
      <c r="AU128" s="418"/>
      <c r="AV128" s="412"/>
      <c r="AW128" s="415"/>
      <c r="AX128" s="412"/>
      <c r="AY128" s="422"/>
      <c r="AZ128" s="201">
        <v>1317</v>
      </c>
      <c r="BA128" s="196">
        <f t="shared" si="81"/>
        <v>-7.9664570230607912E-2</v>
      </c>
      <c r="BB128" s="3"/>
      <c r="BC128" s="74"/>
    </row>
    <row r="129" spans="1:55" s="157" customFormat="1">
      <c r="A129" s="458"/>
      <c r="B129" s="73" t="s">
        <v>22</v>
      </c>
      <c r="C129" s="3">
        <v>1179885</v>
      </c>
      <c r="D129" s="9">
        <f t="shared" si="82"/>
        <v>7.514442966229895E-2</v>
      </c>
      <c r="E129" s="178"/>
      <c r="F129" s="5">
        <v>193998</v>
      </c>
      <c r="G129" s="9">
        <f t="shared" si="83"/>
        <v>-5.0095725876344699E-2</v>
      </c>
      <c r="H129" s="3">
        <v>324800</v>
      </c>
      <c r="I129" s="9">
        <f t="shared" si="78"/>
        <v>1.5317286652078774E-2</v>
      </c>
      <c r="J129" s="3">
        <v>37875</v>
      </c>
      <c r="K129" s="9">
        <f t="shared" si="84"/>
        <v>0.695996775926921</v>
      </c>
      <c r="L129" s="7">
        <v>87263</v>
      </c>
      <c r="M129" s="9">
        <f t="shared" si="85"/>
        <v>0.17359962342814872</v>
      </c>
      <c r="N129" s="3">
        <v>77026</v>
      </c>
      <c r="O129" s="9">
        <f t="shared" si="86"/>
        <v>-8.9193439676477193E-2</v>
      </c>
      <c r="P129" s="3">
        <v>60301</v>
      </c>
      <c r="Q129" s="9">
        <f t="shared" si="87"/>
        <v>8.2214644651830593E-2</v>
      </c>
      <c r="R129" s="7">
        <v>33975</v>
      </c>
      <c r="S129" s="9">
        <f t="shared" si="88"/>
        <v>0.10971387509798802</v>
      </c>
      <c r="T129" s="260">
        <v>36247</v>
      </c>
      <c r="U129" s="9">
        <f t="shared" si="70"/>
        <v>0.15819913087934559</v>
      </c>
      <c r="V129" s="3">
        <v>761</v>
      </c>
      <c r="W129" s="9">
        <f t="shared" si="89"/>
        <v>-6.5110565110565122E-2</v>
      </c>
      <c r="X129" s="3">
        <v>73984</v>
      </c>
      <c r="Y129" s="9">
        <f t="shared" si="74"/>
        <v>-5.3198704905235372E-2</v>
      </c>
      <c r="Z129" s="7">
        <v>25558</v>
      </c>
      <c r="AA129" s="76">
        <f t="shared" si="79"/>
        <v>-0.11392317293024545</v>
      </c>
      <c r="AB129" s="3">
        <v>25379</v>
      </c>
      <c r="AC129" s="9">
        <f t="shared" si="80"/>
        <v>6.2549717395855131E-2</v>
      </c>
      <c r="AD129" s="3">
        <v>24739</v>
      </c>
      <c r="AE129" s="9">
        <f t="shared" si="90"/>
        <v>0.41486988847583639</v>
      </c>
      <c r="AF129" s="3">
        <v>1700</v>
      </c>
      <c r="AG129" s="9">
        <f t="shared" si="91"/>
        <v>-0.43333333333333335</v>
      </c>
      <c r="AH129" s="3">
        <v>20917</v>
      </c>
      <c r="AI129" s="9">
        <f t="shared" si="92"/>
        <v>0.22925481899388811</v>
      </c>
      <c r="AJ129" s="412">
        <f>15222-AJ126</f>
        <v>9110</v>
      </c>
      <c r="AK129" s="430">
        <f>(AJ129/AJ117-1)</f>
        <v>-0.1306422368546617</v>
      </c>
      <c r="AL129" s="3">
        <v>3428</v>
      </c>
      <c r="AM129" s="37">
        <f t="shared" si="40"/>
        <v>0.33437135072012447</v>
      </c>
      <c r="AN129" s="412"/>
      <c r="AO129" s="422"/>
      <c r="AP129" s="426"/>
      <c r="AQ129" s="415"/>
      <c r="AR129" s="5">
        <v>0</v>
      </c>
      <c r="AS129" s="402" t="str">
        <f t="shared" si="63"/>
        <v>-</v>
      </c>
      <c r="AT129" s="412"/>
      <c r="AU129" s="418"/>
      <c r="AV129" s="412"/>
      <c r="AW129" s="415"/>
      <c r="AX129" s="412"/>
      <c r="AY129" s="422"/>
      <c r="AZ129" s="201">
        <v>1594</v>
      </c>
      <c r="BA129" s="196">
        <f t="shared" si="81"/>
        <v>0.2443403590944575</v>
      </c>
      <c r="BB129" s="3"/>
      <c r="BC129" s="74"/>
    </row>
    <row r="130" spans="1:55" s="157" customFormat="1">
      <c r="A130" s="458"/>
      <c r="B130" s="15" t="s">
        <v>23</v>
      </c>
      <c r="C130" s="3">
        <v>1223003</v>
      </c>
      <c r="D130" s="9">
        <f t="shared" si="82"/>
        <v>3.1717429907921701E-2</v>
      </c>
      <c r="E130" s="178"/>
      <c r="F130" s="5">
        <v>195263</v>
      </c>
      <c r="G130" s="9">
        <f t="shared" si="83"/>
        <v>-0.14609262255652244</v>
      </c>
      <c r="H130" s="3">
        <v>352000</v>
      </c>
      <c r="I130" s="9">
        <f t="shared" si="78"/>
        <v>8.6419753086419748E-2</v>
      </c>
      <c r="J130" s="3">
        <v>38616</v>
      </c>
      <c r="K130" s="9">
        <f t="shared" si="84"/>
        <v>0.66778958279346989</v>
      </c>
      <c r="L130" s="7">
        <v>93339</v>
      </c>
      <c r="M130" s="9">
        <f t="shared" si="85"/>
        <v>0.16011036951415036</v>
      </c>
      <c r="N130" s="3">
        <v>74905</v>
      </c>
      <c r="O130" s="9">
        <f t="shared" si="86"/>
        <v>-0.15789769533445752</v>
      </c>
      <c r="P130" s="3">
        <v>56187</v>
      </c>
      <c r="Q130" s="9">
        <f t="shared" si="87"/>
        <v>9.9528384963112337E-2</v>
      </c>
      <c r="R130" s="7">
        <v>39798</v>
      </c>
      <c r="S130" s="9">
        <f t="shared" si="88"/>
        <v>0.20188445625585127</v>
      </c>
      <c r="T130" s="260">
        <v>41946</v>
      </c>
      <c r="U130" s="9">
        <f t="shared" si="70"/>
        <v>0.2389166199013498</v>
      </c>
      <c r="V130" s="3">
        <v>720</v>
      </c>
      <c r="W130" s="9">
        <f t="shared" si="89"/>
        <v>2.1276595744680771E-2</v>
      </c>
      <c r="X130" s="3">
        <v>79054</v>
      </c>
      <c r="Y130" s="9">
        <f t="shared" si="74"/>
        <v>-4.5172355484697002E-2</v>
      </c>
      <c r="Z130" s="7">
        <v>18120</v>
      </c>
      <c r="AA130" s="76">
        <f t="shared" si="79"/>
        <v>-0.25551583877727102</v>
      </c>
      <c r="AB130" s="3">
        <v>24351</v>
      </c>
      <c r="AC130" s="9">
        <f t="shared" si="80"/>
        <v>9.0896873040050119E-2</v>
      </c>
      <c r="AD130" s="3">
        <v>29449</v>
      </c>
      <c r="AE130" s="9">
        <f t="shared" si="90"/>
        <v>0.5015806648990413</v>
      </c>
      <c r="AF130" s="3">
        <v>2300</v>
      </c>
      <c r="AG130" s="9">
        <f t="shared" si="91"/>
        <v>4.5454545454545414E-2</v>
      </c>
      <c r="AH130" s="3">
        <v>21772</v>
      </c>
      <c r="AI130" s="9">
        <f t="shared" si="92"/>
        <v>0.22397121655048347</v>
      </c>
      <c r="AJ130" s="412"/>
      <c r="AK130" s="430"/>
      <c r="AL130" s="3">
        <v>3642</v>
      </c>
      <c r="AM130" s="37">
        <f t="shared" si="40"/>
        <v>0.33455478197141808</v>
      </c>
      <c r="AN130" s="412"/>
      <c r="AO130" s="422"/>
      <c r="AP130" s="426"/>
      <c r="AQ130" s="415"/>
      <c r="AR130" s="5">
        <v>0</v>
      </c>
      <c r="AS130" s="402" t="str">
        <f t="shared" si="63"/>
        <v>-</v>
      </c>
      <c r="AT130" s="412"/>
      <c r="AU130" s="418"/>
      <c r="AV130" s="412"/>
      <c r="AW130" s="415"/>
      <c r="AX130" s="412"/>
      <c r="AY130" s="422"/>
      <c r="AZ130" s="201">
        <v>1003</v>
      </c>
      <c r="BA130" s="196">
        <f t="shared" si="81"/>
        <v>0.25062344139650872</v>
      </c>
      <c r="BB130" s="3"/>
      <c r="BC130" s="74"/>
    </row>
    <row r="131" spans="1:55" s="157" customFormat="1">
      <c r="A131" s="458"/>
      <c r="B131" s="73" t="s">
        <v>24</v>
      </c>
      <c r="C131" s="3">
        <v>1270439</v>
      </c>
      <c r="D131" s="9">
        <f t="shared" si="82"/>
        <v>4.0072337823201298E-2</v>
      </c>
      <c r="E131" s="178"/>
      <c r="F131" s="5">
        <v>207588</v>
      </c>
      <c r="G131" s="9">
        <f t="shared" si="83"/>
        <v>-1.8334003262951315E-2</v>
      </c>
      <c r="H131" s="3">
        <v>354400</v>
      </c>
      <c r="I131" s="9">
        <f t="shared" si="78"/>
        <v>4.7281323877068557E-2</v>
      </c>
      <c r="J131" s="3">
        <v>33830</v>
      </c>
      <c r="K131" s="9">
        <f t="shared" si="84"/>
        <v>0.59839357429718865</v>
      </c>
      <c r="L131" s="7">
        <v>96255</v>
      </c>
      <c r="M131" s="9">
        <f t="shared" si="85"/>
        <v>0.24498797113071369</v>
      </c>
      <c r="N131" s="3">
        <v>65534</v>
      </c>
      <c r="O131" s="9">
        <f t="shared" si="86"/>
        <v>-0.31088654980599162</v>
      </c>
      <c r="P131" s="3">
        <v>50650</v>
      </c>
      <c r="Q131" s="9">
        <f t="shared" si="87"/>
        <v>-7.3582938561995825E-2</v>
      </c>
      <c r="R131" s="7">
        <v>41786</v>
      </c>
      <c r="S131" s="9">
        <f t="shared" si="88"/>
        <v>0.24474232946082819</v>
      </c>
      <c r="T131" s="260">
        <v>37589</v>
      </c>
      <c r="U131" s="9">
        <f t="shared" si="70"/>
        <v>3.2409569062594415E-2</v>
      </c>
      <c r="V131" s="3">
        <v>889</v>
      </c>
      <c r="W131" s="9">
        <f t="shared" si="89"/>
        <v>0.19328859060402692</v>
      </c>
      <c r="X131" s="3">
        <v>94694</v>
      </c>
      <c r="Y131" s="9">
        <f t="shared" si="74"/>
        <v>-1.2503519547829356E-2</v>
      </c>
      <c r="Z131" s="7">
        <v>20661</v>
      </c>
      <c r="AA131" s="76">
        <f t="shared" si="79"/>
        <v>-0.15083638157083556</v>
      </c>
      <c r="AB131" s="3">
        <v>26283</v>
      </c>
      <c r="AC131" s="9">
        <f t="shared" si="80"/>
        <v>-2.5689501779359469E-2</v>
      </c>
      <c r="AD131" s="3">
        <v>25881</v>
      </c>
      <c r="AE131" s="9">
        <f t="shared" si="90"/>
        <v>0.55684552454282965</v>
      </c>
      <c r="AF131" s="3">
        <v>1500</v>
      </c>
      <c r="AG131" s="9">
        <f t="shared" si="91"/>
        <v>-0.16666666666666663</v>
      </c>
      <c r="AH131" s="3">
        <v>20637</v>
      </c>
      <c r="AI131" s="9">
        <f t="shared" si="92"/>
        <v>0.38438317568927349</v>
      </c>
      <c r="AJ131" s="412"/>
      <c r="AK131" s="430"/>
      <c r="AL131" s="3">
        <v>3142</v>
      </c>
      <c r="AM131" s="37">
        <f t="shared" si="40"/>
        <v>0.28140293637846647</v>
      </c>
      <c r="AN131" s="412"/>
      <c r="AO131" s="422"/>
      <c r="AP131" s="426"/>
      <c r="AQ131" s="415"/>
      <c r="AR131" s="5">
        <v>77</v>
      </c>
      <c r="AS131" s="99" t="str">
        <f t="shared" si="63"/>
        <v>-</v>
      </c>
      <c r="AT131" s="412"/>
      <c r="AU131" s="418"/>
      <c r="AV131" s="412"/>
      <c r="AW131" s="415"/>
      <c r="AX131" s="412"/>
      <c r="AY131" s="422"/>
      <c r="AZ131" s="201">
        <v>579</v>
      </c>
      <c r="BA131" s="196">
        <f t="shared" si="81"/>
        <v>-0.3180212014134276</v>
      </c>
      <c r="BB131" s="3"/>
      <c r="BC131" s="74"/>
    </row>
    <row r="132" spans="1:55" s="157" customFormat="1">
      <c r="A132" s="458"/>
      <c r="B132" s="15" t="s">
        <v>25</v>
      </c>
      <c r="C132" s="3">
        <v>1454795</v>
      </c>
      <c r="D132" s="9">
        <f t="shared" si="82"/>
        <v>2.6366882974865558E-2</v>
      </c>
      <c r="E132" s="178"/>
      <c r="F132" s="5">
        <v>250741</v>
      </c>
      <c r="G132" s="9">
        <f t="shared" si="83"/>
        <v>2.766074297517962E-2</v>
      </c>
      <c r="H132" s="3">
        <v>361400</v>
      </c>
      <c r="I132" s="9">
        <f t="shared" si="78"/>
        <v>1.4883459702330806E-2</v>
      </c>
      <c r="J132" s="3">
        <v>36886</v>
      </c>
      <c r="K132" s="9">
        <f t="shared" si="84"/>
        <v>0.60199782844733996</v>
      </c>
      <c r="L132" s="7">
        <v>106211</v>
      </c>
      <c r="M132" s="9">
        <f t="shared" si="85"/>
        <v>0.25279845244695021</v>
      </c>
      <c r="N132" s="3">
        <v>89189</v>
      </c>
      <c r="O132" s="9">
        <f t="shared" si="86"/>
        <v>-0.21863419335056289</v>
      </c>
      <c r="P132" s="3">
        <v>56450</v>
      </c>
      <c r="Q132" s="9">
        <f t="shared" si="87"/>
        <v>5.9715782162233166E-2</v>
      </c>
      <c r="R132" s="7">
        <v>47783</v>
      </c>
      <c r="S132" s="9">
        <f t="shared" si="88"/>
        <v>0.24383069554352343</v>
      </c>
      <c r="T132" s="260">
        <v>46666</v>
      </c>
      <c r="U132" s="9">
        <f t="shared" si="70"/>
        <v>0.11340156991864099</v>
      </c>
      <c r="V132" s="3">
        <v>1247</v>
      </c>
      <c r="W132" s="9">
        <f t="shared" si="89"/>
        <v>8.5291557876414181E-2</v>
      </c>
      <c r="X132" s="3">
        <v>114257</v>
      </c>
      <c r="Y132" s="9">
        <f t="shared" si="74"/>
        <v>-6.1282000722994501E-2</v>
      </c>
      <c r="Z132" s="7">
        <v>25860</v>
      </c>
      <c r="AA132" s="76">
        <f t="shared" si="79"/>
        <v>-0.40835983435905654</v>
      </c>
      <c r="AB132" s="3">
        <v>26586</v>
      </c>
      <c r="AC132" s="9">
        <f t="shared" si="80"/>
        <v>-9.6236869837168948E-2</v>
      </c>
      <c r="AD132" s="3">
        <v>35262</v>
      </c>
      <c r="AE132" s="9">
        <f t="shared" si="90"/>
        <v>0.12766229613047653</v>
      </c>
      <c r="AF132" s="3">
        <v>900</v>
      </c>
      <c r="AG132" s="9">
        <f t="shared" si="91"/>
        <v>-0.47058823529411764</v>
      </c>
      <c r="AH132" s="3">
        <v>23933</v>
      </c>
      <c r="AI132" s="9">
        <f t="shared" si="92"/>
        <v>0.57453947368421043</v>
      </c>
      <c r="AJ132" s="412">
        <f>39370-AJ129-AJ126</f>
        <v>24148</v>
      </c>
      <c r="AK132" s="430">
        <f>(AJ132/AJ120-1)</f>
        <v>5.2246285241186907E-2</v>
      </c>
      <c r="AL132" s="3">
        <v>2033</v>
      </c>
      <c r="AM132" s="37">
        <f t="shared" si="40"/>
        <v>9.8473658296405198E-4</v>
      </c>
      <c r="AN132" s="412"/>
      <c r="AO132" s="422"/>
      <c r="AP132" s="426"/>
      <c r="AQ132" s="415"/>
      <c r="AR132" s="5">
        <v>0</v>
      </c>
      <c r="AS132" s="402" t="str">
        <f t="shared" si="63"/>
        <v>-</v>
      </c>
      <c r="AT132" s="412"/>
      <c r="AU132" s="418"/>
      <c r="AV132" s="412"/>
      <c r="AW132" s="415"/>
      <c r="AX132" s="412"/>
      <c r="AY132" s="422"/>
      <c r="AZ132" s="87">
        <v>1202</v>
      </c>
      <c r="BA132" s="196">
        <f t="shared" si="81"/>
        <v>-0.17501715854495536</v>
      </c>
      <c r="BB132" s="3"/>
      <c r="BC132" s="74"/>
    </row>
    <row r="133" spans="1:55" s="157" customFormat="1">
      <c r="A133" s="458"/>
      <c r="B133" s="73" t="s">
        <v>26</v>
      </c>
      <c r="C133" s="3">
        <v>1547193</v>
      </c>
      <c r="D133" s="9">
        <f t="shared" si="82"/>
        <v>9.9494309920650226E-2</v>
      </c>
      <c r="E133" s="178"/>
      <c r="F133" s="5">
        <v>251428</v>
      </c>
      <c r="G133" s="9">
        <f t="shared" si="83"/>
        <v>0.16673008566204794</v>
      </c>
      <c r="H133" s="3">
        <v>404900</v>
      </c>
      <c r="I133" s="9">
        <f t="shared" si="78"/>
        <v>3.2118276828957432E-2</v>
      </c>
      <c r="J133" s="3">
        <v>43865</v>
      </c>
      <c r="K133" s="9">
        <f t="shared" si="84"/>
        <v>0.4892208453573248</v>
      </c>
      <c r="L133" s="7">
        <v>124746</v>
      </c>
      <c r="M133" s="9">
        <f t="shared" si="85"/>
        <v>0.19850122496036904</v>
      </c>
      <c r="N133" s="3">
        <v>114458</v>
      </c>
      <c r="O133" s="9">
        <f t="shared" si="86"/>
        <v>-0.10692717030008891</v>
      </c>
      <c r="P133" s="3">
        <v>87457</v>
      </c>
      <c r="Q133" s="9">
        <f t="shared" si="87"/>
        <v>0.34233266311604993</v>
      </c>
      <c r="R133" s="7">
        <v>58115</v>
      </c>
      <c r="S133" s="9">
        <f t="shared" si="88"/>
        <v>0.20084719495815673</v>
      </c>
      <c r="T133" s="260">
        <v>56623</v>
      </c>
      <c r="U133" s="9">
        <f t="shared" si="70"/>
        <v>0.23130952898708301</v>
      </c>
      <c r="V133" s="3">
        <v>1109</v>
      </c>
      <c r="W133" s="9">
        <f t="shared" si="89"/>
        <v>-7.7371048252911856E-2</v>
      </c>
      <c r="X133" s="3">
        <v>121624</v>
      </c>
      <c r="Y133" s="74">
        <f t="shared" si="74"/>
        <v>5.6405802136715089E-2</v>
      </c>
      <c r="Z133" s="7">
        <v>27233</v>
      </c>
      <c r="AA133" s="76">
        <f t="shared" si="79"/>
        <v>1.0626372794061956</v>
      </c>
      <c r="AB133" s="3">
        <v>28249</v>
      </c>
      <c r="AC133" s="9">
        <f t="shared" si="80"/>
        <v>4.2660599381421083E-3</v>
      </c>
      <c r="AD133" s="3">
        <v>43127</v>
      </c>
      <c r="AE133" s="9">
        <f t="shared" si="90"/>
        <v>0.93247300264372446</v>
      </c>
      <c r="AF133" s="3">
        <v>400</v>
      </c>
      <c r="AG133" s="9">
        <f t="shared" si="91"/>
        <v>-0.78947368421052633</v>
      </c>
      <c r="AH133" s="3">
        <v>23322</v>
      </c>
      <c r="AI133" s="9">
        <f t="shared" si="92"/>
        <v>0.34196443984118763</v>
      </c>
      <c r="AJ133" s="412"/>
      <c r="AK133" s="430"/>
      <c r="AL133" s="3">
        <v>2146</v>
      </c>
      <c r="AM133" s="37">
        <f t="shared" si="40"/>
        <v>7.4074074074074181E-2</v>
      </c>
      <c r="AN133" s="412"/>
      <c r="AO133" s="422"/>
      <c r="AP133" s="426"/>
      <c r="AQ133" s="415"/>
      <c r="AR133" s="5">
        <v>0</v>
      </c>
      <c r="AS133" s="402" t="str">
        <f t="shared" si="63"/>
        <v>-</v>
      </c>
      <c r="AT133" s="412"/>
      <c r="AU133" s="418"/>
      <c r="AV133" s="412"/>
      <c r="AW133" s="415"/>
      <c r="AX133" s="412"/>
      <c r="AY133" s="422"/>
      <c r="AZ133" s="201">
        <v>1304</v>
      </c>
      <c r="BA133" s="196">
        <f t="shared" si="81"/>
        <v>-8.1042988019732198E-2</v>
      </c>
      <c r="BB133" s="3"/>
      <c r="BC133" s="74"/>
    </row>
    <row r="134" spans="1:55" s="157" customFormat="1">
      <c r="A134" s="458"/>
      <c r="B134" s="73" t="s">
        <v>27</v>
      </c>
      <c r="C134" s="3">
        <v>1321293</v>
      </c>
      <c r="D134" s="9">
        <f t="shared" si="82"/>
        <v>0.10546435103301599</v>
      </c>
      <c r="E134" s="178"/>
      <c r="F134" s="5">
        <v>217689</v>
      </c>
      <c r="G134" s="9">
        <f>F134/F122-1</f>
        <v>0.32334543067131105</v>
      </c>
      <c r="H134" s="3">
        <v>369300</v>
      </c>
      <c r="I134" s="9">
        <f t="shared" si="78"/>
        <v>9.0667454223272298E-2</v>
      </c>
      <c r="J134" s="3">
        <v>37632</v>
      </c>
      <c r="K134" s="9">
        <f t="shared" si="84"/>
        <v>0.23875045261529348</v>
      </c>
      <c r="L134" s="7">
        <v>101550</v>
      </c>
      <c r="M134" s="9">
        <f t="shared" si="85"/>
        <v>0.18550081718421674</v>
      </c>
      <c r="N134" s="3">
        <v>81366</v>
      </c>
      <c r="O134" s="9">
        <f t="shared" si="86"/>
        <v>-0.13684679523900456</v>
      </c>
      <c r="P134" s="3">
        <v>68983</v>
      </c>
      <c r="Q134" s="9">
        <f t="shared" si="87"/>
        <v>0.19380797452582033</v>
      </c>
      <c r="R134" s="7">
        <v>46812</v>
      </c>
      <c r="S134" s="9">
        <f t="shared" si="88"/>
        <v>0.23919949174078781</v>
      </c>
      <c r="T134" s="260">
        <v>39276</v>
      </c>
      <c r="U134" s="9">
        <f t="shared" si="70"/>
        <v>0.10328941824208546</v>
      </c>
      <c r="V134" s="3">
        <v>770</v>
      </c>
      <c r="W134" s="9">
        <f t="shared" si="89"/>
        <v>0.10157367668097272</v>
      </c>
      <c r="X134" s="3">
        <v>82098</v>
      </c>
      <c r="Y134" s="74">
        <f t="shared" si="74"/>
        <v>-5.3658086752043199E-2</v>
      </c>
      <c r="Z134" s="7">
        <v>21600</v>
      </c>
      <c r="AA134" s="76">
        <f t="shared" si="79"/>
        <v>7.4156988946409985E-3</v>
      </c>
      <c r="AB134" s="3">
        <v>24769</v>
      </c>
      <c r="AC134" s="9">
        <f t="shared" si="80"/>
        <v>-7.8054046006104327E-2</v>
      </c>
      <c r="AD134" s="3">
        <v>27297</v>
      </c>
      <c r="AE134" s="9">
        <f t="shared" si="90"/>
        <v>0.35307821949043317</v>
      </c>
      <c r="AF134" s="3">
        <v>800</v>
      </c>
      <c r="AG134" s="9">
        <f t="shared" si="91"/>
        <v>-0.52941176470588236</v>
      </c>
      <c r="AH134" s="3">
        <v>21099</v>
      </c>
      <c r="AI134" s="9">
        <f t="shared" si="92"/>
        <v>0.21538018433179729</v>
      </c>
      <c r="AJ134" s="412"/>
      <c r="AK134" s="430"/>
      <c r="AL134" s="3">
        <v>3229</v>
      </c>
      <c r="AM134" s="37">
        <f t="shared" si="40"/>
        <v>0.25446775446775449</v>
      </c>
      <c r="AN134" s="412"/>
      <c r="AO134" s="422"/>
      <c r="AP134" s="426"/>
      <c r="AQ134" s="415"/>
      <c r="AR134" s="5">
        <v>0</v>
      </c>
      <c r="AS134" s="402" t="str">
        <f t="shared" si="63"/>
        <v>-</v>
      </c>
      <c r="AT134" s="412"/>
      <c r="AU134" s="418"/>
      <c r="AV134" s="412"/>
      <c r="AW134" s="415"/>
      <c r="AX134" s="412"/>
      <c r="AY134" s="422"/>
      <c r="AZ134" s="202">
        <v>715</v>
      </c>
      <c r="BA134" s="195" t="s">
        <v>201</v>
      </c>
      <c r="BB134" s="3"/>
      <c r="BC134" s="74"/>
    </row>
    <row r="135" spans="1:55" s="157" customFormat="1">
      <c r="A135" s="458"/>
      <c r="B135" s="15" t="s">
        <v>28</v>
      </c>
      <c r="C135" s="3">
        <v>1432100</v>
      </c>
      <c r="D135" s="9">
        <f t="shared" si="82"/>
        <v>0.15571810517430196</v>
      </c>
      <c r="E135" s="178"/>
      <c r="F135" s="5">
        <v>249577</v>
      </c>
      <c r="G135" s="9">
        <f>F135/F123-1</f>
        <v>0.57687666247559588</v>
      </c>
      <c r="H135" s="3">
        <v>413900</v>
      </c>
      <c r="I135" s="9">
        <f t="shared" si="78"/>
        <v>5.6406329760081676E-2</v>
      </c>
      <c r="J135" s="3">
        <v>47984</v>
      </c>
      <c r="K135" s="9">
        <f t="shared" si="84"/>
        <v>0.28660678375117299</v>
      </c>
      <c r="L135" s="7">
        <v>103413</v>
      </c>
      <c r="M135" s="9">
        <f t="shared" si="85"/>
        <v>0.12807618465834714</v>
      </c>
      <c r="N135" s="3">
        <v>93900</v>
      </c>
      <c r="O135" s="9">
        <f t="shared" si="86"/>
        <v>-0.15029545104923581</v>
      </c>
      <c r="P135" s="3">
        <v>69608</v>
      </c>
      <c r="Q135" s="9">
        <f t="shared" si="87"/>
        <v>0.22921522921522919</v>
      </c>
      <c r="R135" s="7">
        <v>45119</v>
      </c>
      <c r="S135" s="9">
        <f t="shared" si="88"/>
        <v>0.16791778836197979</v>
      </c>
      <c r="T135" s="260">
        <v>44810</v>
      </c>
      <c r="U135" s="9">
        <f t="shared" si="70"/>
        <v>0.11587020942799511</v>
      </c>
      <c r="V135" s="3">
        <v>1221</v>
      </c>
      <c r="W135" s="9">
        <f t="shared" si="89"/>
        <v>5.1679586563307511E-2</v>
      </c>
      <c r="X135" s="77">
        <v>92339</v>
      </c>
      <c r="Y135" s="74">
        <f t="shared" si="74"/>
        <v>0.13153605783959321</v>
      </c>
      <c r="Z135" s="7">
        <v>28159</v>
      </c>
      <c r="AA135" s="76">
        <f t="shared" si="79"/>
        <v>-5.1118749157568422E-2</v>
      </c>
      <c r="AB135" s="3">
        <v>29906</v>
      </c>
      <c r="AC135" s="9">
        <f t="shared" si="80"/>
        <v>6.5977544109784292E-2</v>
      </c>
      <c r="AD135" s="3">
        <v>30724</v>
      </c>
      <c r="AE135" s="9">
        <f t="shared" si="90"/>
        <v>0.45439053254437867</v>
      </c>
      <c r="AF135" s="3">
        <v>1100</v>
      </c>
      <c r="AG135" s="9">
        <f t="shared" si="91"/>
        <v>-0.56000000000000005</v>
      </c>
      <c r="AH135" s="3">
        <v>22860</v>
      </c>
      <c r="AI135" s="9">
        <f t="shared" si="92"/>
        <v>0.43394806172374856</v>
      </c>
      <c r="AJ135" s="412">
        <f>45476-AJ132-AJ129-AJ126</f>
        <v>6106</v>
      </c>
      <c r="AK135" s="430">
        <f>(AJ135/AJ123-1)</f>
        <v>-4.2196078431372519E-2</v>
      </c>
      <c r="AL135" s="3">
        <v>3748</v>
      </c>
      <c r="AM135" s="37">
        <f t="shared" si="40"/>
        <v>-0.11582920500117955</v>
      </c>
      <c r="AN135" s="412"/>
      <c r="AO135" s="422"/>
      <c r="AP135" s="426"/>
      <c r="AQ135" s="415"/>
      <c r="AR135" s="5">
        <v>0</v>
      </c>
      <c r="AS135" s="402" t="str">
        <f t="shared" si="63"/>
        <v>-</v>
      </c>
      <c r="AT135" s="412"/>
      <c r="AU135" s="418"/>
      <c r="AV135" s="412"/>
      <c r="AW135" s="415"/>
      <c r="AX135" s="412"/>
      <c r="AY135" s="422"/>
      <c r="AZ135" s="201">
        <v>1445</v>
      </c>
      <c r="BA135" s="195" t="s">
        <v>201</v>
      </c>
      <c r="BB135" s="3"/>
      <c r="BC135" s="74"/>
    </row>
    <row r="136" spans="1:55" s="157" customFormat="1">
      <c r="A136" s="458"/>
      <c r="B136" s="15" t="s">
        <v>29</v>
      </c>
      <c r="C136" s="3">
        <v>1288754</v>
      </c>
      <c r="D136" s="9">
        <f t="shared" si="82"/>
        <v>0.11670929861775425</v>
      </c>
      <c r="E136" s="178"/>
      <c r="F136" s="5">
        <v>239029</v>
      </c>
      <c r="G136" s="9">
        <f>F136/F124-1</f>
        <v>0.3986401483900035</v>
      </c>
      <c r="H136" s="3">
        <v>335100</v>
      </c>
      <c r="I136" s="9">
        <f t="shared" si="78"/>
        <v>7.1634154141349535E-2</v>
      </c>
      <c r="J136" s="3">
        <v>48248</v>
      </c>
      <c r="K136" s="9">
        <f t="shared" si="84"/>
        <v>0.1849595991846158</v>
      </c>
      <c r="L136" s="7">
        <v>95204</v>
      </c>
      <c r="M136" s="9">
        <f t="shared" si="85"/>
        <v>-2.9401881720425571E-4</v>
      </c>
      <c r="N136" s="3">
        <v>90281</v>
      </c>
      <c r="O136" s="9">
        <f t="shared" si="86"/>
        <v>-0.20567843882524772</v>
      </c>
      <c r="P136" s="3">
        <v>78129</v>
      </c>
      <c r="Q136" s="9">
        <f t="shared" si="87"/>
        <v>0.21770234254453635</v>
      </c>
      <c r="R136" s="7">
        <v>41592</v>
      </c>
      <c r="S136" s="9">
        <f t="shared" si="88"/>
        <v>8.017140631086872E-2</v>
      </c>
      <c r="T136" s="260">
        <v>40230</v>
      </c>
      <c r="U136" s="185">
        <f t="shared" si="70"/>
        <v>-3.9120530850747749E-3</v>
      </c>
      <c r="V136" s="3">
        <v>1267</v>
      </c>
      <c r="W136" s="9">
        <f t="shared" si="89"/>
        <v>3.5130718954248463E-2</v>
      </c>
      <c r="X136" s="77">
        <v>100243</v>
      </c>
      <c r="Y136" s="74">
        <f t="shared" si="74"/>
        <v>0.2711030521283746</v>
      </c>
      <c r="Z136" s="7">
        <v>33430</v>
      </c>
      <c r="AA136" s="76">
        <f t="shared" si="79"/>
        <v>-3.9974728619838085E-2</v>
      </c>
      <c r="AB136" s="3">
        <v>24804</v>
      </c>
      <c r="AC136" s="9">
        <f t="shared" si="80"/>
        <v>-0.10988301155530034</v>
      </c>
      <c r="AD136" s="3">
        <v>29162</v>
      </c>
      <c r="AE136" s="191">
        <f t="shared" si="90"/>
        <v>0.38747740032353217</v>
      </c>
      <c r="AF136" s="3">
        <v>1200</v>
      </c>
      <c r="AG136" s="185">
        <f t="shared" si="91"/>
        <v>-0.47826086956521741</v>
      </c>
      <c r="AH136" s="3">
        <v>18136</v>
      </c>
      <c r="AI136" s="9">
        <f t="shared" si="92"/>
        <v>0.26842915093019992</v>
      </c>
      <c r="AJ136" s="412"/>
      <c r="AK136" s="430"/>
      <c r="AL136" s="3">
        <v>2922</v>
      </c>
      <c r="AM136" s="37">
        <f t="shared" si="40"/>
        <v>-0.24123604258634124</v>
      </c>
      <c r="AN136" s="412"/>
      <c r="AO136" s="422"/>
      <c r="AP136" s="426"/>
      <c r="AQ136" s="415"/>
      <c r="AR136" s="5">
        <v>0</v>
      </c>
      <c r="AS136" s="402" t="str">
        <f t="shared" si="63"/>
        <v>-</v>
      </c>
      <c r="AT136" s="412"/>
      <c r="AU136" s="418"/>
      <c r="AV136" s="412"/>
      <c r="AW136" s="415"/>
      <c r="AX136" s="412"/>
      <c r="AY136" s="422"/>
      <c r="AZ136" s="201">
        <v>440</v>
      </c>
      <c r="BA136" s="195" t="s">
        <v>201</v>
      </c>
      <c r="BB136" s="3"/>
      <c r="BC136" s="74"/>
    </row>
    <row r="137" spans="1:55" s="157" customFormat="1">
      <c r="A137" s="459"/>
      <c r="B137" s="41" t="s">
        <v>30</v>
      </c>
      <c r="C137" s="18">
        <v>1430677</v>
      </c>
      <c r="D137" s="19">
        <f t="shared" si="82"/>
        <v>0.18781315822901989</v>
      </c>
      <c r="E137" s="178"/>
      <c r="F137" s="42">
        <v>270903</v>
      </c>
      <c r="G137" s="19">
        <f>F137/F125-1</f>
        <v>0.48159106570556642</v>
      </c>
      <c r="H137" s="18">
        <v>356400</v>
      </c>
      <c r="I137" s="19">
        <f t="shared" si="78"/>
        <v>0.28757225433526012</v>
      </c>
      <c r="J137" s="18">
        <v>50255</v>
      </c>
      <c r="K137" s="19">
        <f t="shared" si="84"/>
        <v>0.13521877611872868</v>
      </c>
      <c r="L137" s="44">
        <v>109586</v>
      </c>
      <c r="M137" s="19">
        <f t="shared" si="85"/>
        <v>2.1476109692213141E-2</v>
      </c>
      <c r="N137" s="18">
        <v>114105</v>
      </c>
      <c r="O137" s="19">
        <f t="shared" si="86"/>
        <v>-3.171191948841634E-3</v>
      </c>
      <c r="P137" s="18">
        <v>83123</v>
      </c>
      <c r="Q137" s="19">
        <f t="shared" si="87"/>
        <v>0.26207828489872775</v>
      </c>
      <c r="R137" s="44">
        <v>47346</v>
      </c>
      <c r="S137" s="190">
        <f t="shared" si="88"/>
        <v>2.0124105834697925E-2</v>
      </c>
      <c r="T137" s="261">
        <v>40918</v>
      </c>
      <c r="U137" s="186">
        <f t="shared" si="70"/>
        <v>0.13705329850497416</v>
      </c>
      <c r="V137" s="18">
        <v>1325</v>
      </c>
      <c r="W137" s="19">
        <f t="shared" si="89"/>
        <v>0.14818024263431551</v>
      </c>
      <c r="X137" s="193">
        <v>116940</v>
      </c>
      <c r="Y137" s="85">
        <f t="shared" si="74"/>
        <v>0.21256739941932801</v>
      </c>
      <c r="Z137" s="44">
        <v>46087</v>
      </c>
      <c r="AA137" s="197">
        <f t="shared" si="79"/>
        <v>-0.12337131227055709</v>
      </c>
      <c r="AB137" s="18">
        <v>28796</v>
      </c>
      <c r="AC137" s="186">
        <f t="shared" si="80"/>
        <v>-1.1771165791550797E-2</v>
      </c>
      <c r="AD137" s="18">
        <v>31114</v>
      </c>
      <c r="AE137" s="192">
        <f t="shared" si="90"/>
        <v>0.22006117167281003</v>
      </c>
      <c r="AF137" s="18">
        <v>800</v>
      </c>
      <c r="AG137" s="186">
        <f t="shared" si="91"/>
        <v>-0.4285714285714286</v>
      </c>
      <c r="AH137" s="18">
        <v>17129</v>
      </c>
      <c r="AI137" s="186">
        <f t="shared" si="92"/>
        <v>0.23044321528625811</v>
      </c>
      <c r="AJ137" s="413"/>
      <c r="AK137" s="477"/>
      <c r="AL137" s="18">
        <v>3660</v>
      </c>
      <c r="AM137" s="45">
        <f t="shared" si="40"/>
        <v>3.9477421187162687E-2</v>
      </c>
      <c r="AN137" s="413"/>
      <c r="AO137" s="423"/>
      <c r="AP137" s="433"/>
      <c r="AQ137" s="416"/>
      <c r="AR137" s="42">
        <v>0</v>
      </c>
      <c r="AS137" s="403" t="str">
        <f t="shared" si="63"/>
        <v>-</v>
      </c>
      <c r="AT137" s="413"/>
      <c r="AU137" s="419"/>
      <c r="AV137" s="413"/>
      <c r="AW137" s="416"/>
      <c r="AX137" s="413"/>
      <c r="AY137" s="423"/>
      <c r="AZ137" s="203">
        <v>598</v>
      </c>
      <c r="BA137" s="204" t="s">
        <v>201</v>
      </c>
      <c r="BB137" s="18"/>
      <c r="BC137" s="85"/>
    </row>
    <row r="138" spans="1:55" s="252" customFormat="1">
      <c r="A138" s="457" t="s">
        <v>203</v>
      </c>
      <c r="B138" s="2" t="s">
        <v>155</v>
      </c>
      <c r="C138" s="29">
        <v>1834538</v>
      </c>
      <c r="D138" s="30">
        <f t="shared" ref="D138:D148" si="93">(C138-C126)/C126</f>
        <v>0.24891704898145078</v>
      </c>
      <c r="E138" s="178"/>
      <c r="F138" s="38">
        <v>358093</v>
      </c>
      <c r="G138" s="39">
        <f t="shared" ref="G138:G149" si="94">(F138-F126)/F126</f>
        <v>0.40144491364566742</v>
      </c>
      <c r="H138" s="38">
        <v>367700</v>
      </c>
      <c r="I138" s="39">
        <f t="shared" si="78"/>
        <v>0.25068027210884353</v>
      </c>
      <c r="J138" s="38">
        <v>75201</v>
      </c>
      <c r="K138" s="39">
        <f t="shared" si="84"/>
        <v>0.26598878806754089</v>
      </c>
      <c r="L138" s="38">
        <v>147556</v>
      </c>
      <c r="M138" s="39">
        <f t="shared" si="85"/>
        <v>0.1634247687831647</v>
      </c>
      <c r="N138" s="38">
        <v>153062</v>
      </c>
      <c r="O138" s="39">
        <f t="shared" si="86"/>
        <v>0.1287924600657826</v>
      </c>
      <c r="P138" s="247">
        <v>116450</v>
      </c>
      <c r="Q138" s="248">
        <f t="shared" si="87"/>
        <v>0.7680908566396405</v>
      </c>
      <c r="R138" s="29">
        <v>68791</v>
      </c>
      <c r="S138" s="249">
        <f t="shared" si="88"/>
        <v>0.16313004074869375</v>
      </c>
      <c r="T138" s="38">
        <v>71820</v>
      </c>
      <c r="U138" s="39">
        <f t="shared" si="70"/>
        <v>0.20210896309314588</v>
      </c>
      <c r="V138" s="38">
        <v>1856</v>
      </c>
      <c r="W138" s="39">
        <f t="shared" si="89"/>
        <v>2.7116768123962354E-2</v>
      </c>
      <c r="X138" s="38">
        <v>147163</v>
      </c>
      <c r="Y138" s="250">
        <f t="shared" si="74"/>
        <v>0.24389728505257469</v>
      </c>
      <c r="Z138" s="29">
        <v>73059</v>
      </c>
      <c r="AA138" s="39">
        <f t="shared" si="79"/>
        <v>-5.2866976937137822E-2</v>
      </c>
      <c r="AB138" s="38">
        <v>38620</v>
      </c>
      <c r="AC138" s="39">
        <f t="shared" si="80"/>
        <v>0.16655591131516956</v>
      </c>
      <c r="AD138" s="38">
        <v>55297</v>
      </c>
      <c r="AE138" s="39">
        <f t="shared" si="90"/>
        <v>0.31013812874641644</v>
      </c>
      <c r="AF138" s="38">
        <v>3300</v>
      </c>
      <c r="AG138" s="39">
        <f t="shared" si="91"/>
        <v>-0.10810810810810811</v>
      </c>
      <c r="AH138" s="38">
        <v>25192</v>
      </c>
      <c r="AI138" s="249">
        <f t="shared" si="92"/>
        <v>0.2573995507861242</v>
      </c>
      <c r="AJ138" s="412">
        <v>5497</v>
      </c>
      <c r="AK138" s="430">
        <f>(AJ138/AJ126-1)</f>
        <v>-0.10062172774869105</v>
      </c>
      <c r="AL138" s="38">
        <v>2133</v>
      </c>
      <c r="AM138" s="251">
        <f t="shared" si="40"/>
        <v>-1.4325323475046225E-2</v>
      </c>
      <c r="AN138" s="411">
        <v>63715</v>
      </c>
      <c r="AO138" s="421">
        <f>AN138/AN126-1</f>
        <v>8.966684909016287E-2</v>
      </c>
      <c r="AP138" s="411">
        <v>102993</v>
      </c>
      <c r="AQ138" s="414">
        <f>(AP138/AP126-1)</f>
        <v>-3.6277720595115581E-2</v>
      </c>
      <c r="AR138" s="38">
        <v>0</v>
      </c>
      <c r="AS138" s="99" t="str">
        <f t="shared" si="63"/>
        <v>-</v>
      </c>
      <c r="AT138" s="411">
        <v>640</v>
      </c>
      <c r="AU138" s="417">
        <f>AT138/AT126-1</f>
        <v>-0.25407925407925402</v>
      </c>
      <c r="AV138" s="474">
        <v>11521</v>
      </c>
      <c r="AW138" s="421">
        <f>AV138/AV126-1</f>
        <v>-0.2502277756084863</v>
      </c>
      <c r="AX138" s="424">
        <v>165328</v>
      </c>
      <c r="AY138" s="421">
        <f>(AX138/AX126-1)</f>
        <v>0.7206431805172504</v>
      </c>
      <c r="AZ138" s="289">
        <v>4097</v>
      </c>
      <c r="BA138" s="398">
        <f t="shared" ref="BA138:BA145" si="95">(AZ138/AZ126-1)</f>
        <v>4.9290882778581766</v>
      </c>
      <c r="BB138" s="38"/>
      <c r="BC138" s="39"/>
    </row>
    <row r="139" spans="1:55" s="252" customFormat="1">
      <c r="A139" s="476"/>
      <c r="B139" s="15" t="s">
        <v>153</v>
      </c>
      <c r="C139" s="90">
        <v>1445609</v>
      </c>
      <c r="D139" s="39">
        <f t="shared" si="93"/>
        <v>0.10126283344874581</v>
      </c>
      <c r="E139" s="178"/>
      <c r="F139" s="38">
        <v>321576</v>
      </c>
      <c r="G139" s="39">
        <f t="shared" si="94"/>
        <v>0.38908519148862647</v>
      </c>
      <c r="H139" s="90">
        <v>280200</v>
      </c>
      <c r="I139" s="39">
        <f t="shared" si="78"/>
        <v>-0.12737464964185613</v>
      </c>
      <c r="J139" s="90">
        <v>57692</v>
      </c>
      <c r="K139" s="39">
        <f t="shared" si="84"/>
        <v>0.16354395659802745</v>
      </c>
      <c r="L139" s="253">
        <v>118746</v>
      </c>
      <c r="M139" s="39">
        <f t="shared" si="85"/>
        <v>6.7312618531867763E-2</v>
      </c>
      <c r="N139" s="90">
        <v>117331</v>
      </c>
      <c r="O139" s="39">
        <f t="shared" si="86"/>
        <v>0.16573273720814696</v>
      </c>
      <c r="P139" s="254">
        <v>145563</v>
      </c>
      <c r="Q139" s="250">
        <f t="shared" si="87"/>
        <v>0.68055555555555558</v>
      </c>
      <c r="R139" s="253">
        <v>56240</v>
      </c>
      <c r="S139" s="39">
        <f t="shared" si="88"/>
        <v>7.2729700345242065E-2</v>
      </c>
      <c r="T139" s="90">
        <v>51415</v>
      </c>
      <c r="U139" s="39">
        <f t="shared" si="70"/>
        <v>-9.9171962256884259E-3</v>
      </c>
      <c r="V139" s="90">
        <v>1159</v>
      </c>
      <c r="W139" s="39">
        <f t="shared" si="89"/>
        <v>-8.2343626286619176E-2</v>
      </c>
      <c r="X139" s="90">
        <v>121218</v>
      </c>
      <c r="Y139" s="250">
        <f t="shared" si="74"/>
        <v>0.18234932649259195</v>
      </c>
      <c r="Z139" s="38">
        <v>49616</v>
      </c>
      <c r="AA139" s="39">
        <f t="shared" si="79"/>
        <v>-0.22615259841537216</v>
      </c>
      <c r="AB139" s="90">
        <v>30938</v>
      </c>
      <c r="AC139" s="39">
        <f t="shared" si="80"/>
        <v>2.5048041879265792E-2</v>
      </c>
      <c r="AD139" s="90">
        <v>36515</v>
      </c>
      <c r="AE139" s="39">
        <f t="shared" si="90"/>
        <v>3.0245746691871522E-2</v>
      </c>
      <c r="AF139" s="90">
        <v>2600</v>
      </c>
      <c r="AG139" s="39">
        <f t="shared" si="91"/>
        <v>-0.45833333333333337</v>
      </c>
      <c r="AH139" s="90">
        <v>19917</v>
      </c>
      <c r="AI139" s="39">
        <f t="shared" si="92"/>
        <v>4.5731387167909254E-2</v>
      </c>
      <c r="AJ139" s="412"/>
      <c r="AK139" s="430"/>
      <c r="AL139" s="90">
        <v>1648</v>
      </c>
      <c r="AM139" s="251">
        <f t="shared" si="40"/>
        <v>-0.24090280976508527</v>
      </c>
      <c r="AN139" s="412"/>
      <c r="AO139" s="422"/>
      <c r="AP139" s="412"/>
      <c r="AQ139" s="415"/>
      <c r="AR139" s="38">
        <v>0</v>
      </c>
      <c r="AS139" s="402" t="str">
        <f t="shared" si="63"/>
        <v>-</v>
      </c>
      <c r="AT139" s="412"/>
      <c r="AU139" s="418"/>
      <c r="AV139" s="475"/>
      <c r="AW139" s="422"/>
      <c r="AX139" s="425"/>
      <c r="AY139" s="422"/>
      <c r="AZ139" s="90">
        <v>1054</v>
      </c>
      <c r="BA139" s="398">
        <f t="shared" si="95"/>
        <v>0.7955706984667803</v>
      </c>
      <c r="BB139" s="90"/>
      <c r="BC139" s="250"/>
    </row>
    <row r="140" spans="1:55" s="252" customFormat="1">
      <c r="A140" s="476"/>
      <c r="B140" s="15" t="s">
        <v>21</v>
      </c>
      <c r="C140" s="90">
        <v>1416683</v>
      </c>
      <c r="D140" s="39">
        <f t="shared" si="93"/>
        <v>0.23087182080334748</v>
      </c>
      <c r="E140" s="178"/>
      <c r="F140" s="38">
        <v>268156</v>
      </c>
      <c r="G140" s="39">
        <f t="shared" si="94"/>
        <v>0.39607867637105759</v>
      </c>
      <c r="H140" s="90">
        <v>345000</v>
      </c>
      <c r="I140" s="39">
        <f t="shared" ref="I140:I149" si="96">(H140-H128)/H128</f>
        <v>0.17147707979626486</v>
      </c>
      <c r="J140" s="90">
        <v>49733</v>
      </c>
      <c r="K140" s="39">
        <f t="shared" si="84"/>
        <v>0.14305086303983083</v>
      </c>
      <c r="L140" s="253">
        <v>98909</v>
      </c>
      <c r="M140" s="39">
        <f t="shared" si="85"/>
        <v>3.6847181164433751E-2</v>
      </c>
      <c r="N140" s="90">
        <v>100236</v>
      </c>
      <c r="O140" s="39">
        <f t="shared" si="86"/>
        <v>0.26113159119789642</v>
      </c>
      <c r="P140" s="254">
        <v>90804</v>
      </c>
      <c r="Q140" s="250">
        <f t="shared" si="87"/>
        <v>0.30459893970087504</v>
      </c>
      <c r="R140" s="253">
        <v>43613</v>
      </c>
      <c r="S140" s="39">
        <f t="shared" si="88"/>
        <v>7.3550769230769308E-2</v>
      </c>
      <c r="T140" s="90">
        <v>42872</v>
      </c>
      <c r="U140" s="39">
        <f t="shared" si="70"/>
        <v>4.5786071472130749E-2</v>
      </c>
      <c r="V140" s="90">
        <v>1080</v>
      </c>
      <c r="W140" s="39">
        <f t="shared" si="89"/>
        <v>4.5498547918683352E-2</v>
      </c>
      <c r="X140" s="90">
        <v>93099</v>
      </c>
      <c r="Y140" s="250">
        <f t="shared" si="74"/>
        <v>0.172413358855531</v>
      </c>
      <c r="Z140" s="253">
        <v>37222</v>
      </c>
      <c r="AA140" s="39">
        <f t="shared" si="79"/>
        <v>2.0815621314757449E-2</v>
      </c>
      <c r="AB140" s="90">
        <v>28565</v>
      </c>
      <c r="AC140" s="39">
        <f t="shared" si="80"/>
        <v>0.11100307261483411</v>
      </c>
      <c r="AD140" s="90">
        <v>29366</v>
      </c>
      <c r="AE140" s="39">
        <f t="shared" si="90"/>
        <v>-6.3703609233516145E-2</v>
      </c>
      <c r="AF140" s="90">
        <v>2100</v>
      </c>
      <c r="AG140" s="39">
        <f t="shared" si="91"/>
        <v>-0.16000000000000003</v>
      </c>
      <c r="AH140" s="254">
        <v>14165</v>
      </c>
      <c r="AI140" s="39">
        <f t="shared" si="92"/>
        <v>-0.28343787940105225</v>
      </c>
      <c r="AJ140" s="412"/>
      <c r="AK140" s="430"/>
      <c r="AL140" s="90">
        <v>3184</v>
      </c>
      <c r="AM140" s="251">
        <f t="shared" si="40"/>
        <v>0.21945614707008798</v>
      </c>
      <c r="AN140" s="412"/>
      <c r="AO140" s="422"/>
      <c r="AP140" s="412"/>
      <c r="AQ140" s="415"/>
      <c r="AR140" s="38">
        <v>0</v>
      </c>
      <c r="AS140" s="402" t="str">
        <f t="shared" si="63"/>
        <v>-</v>
      </c>
      <c r="AT140" s="412"/>
      <c r="AU140" s="418"/>
      <c r="AV140" s="475"/>
      <c r="AW140" s="422"/>
      <c r="AX140" s="425"/>
      <c r="AY140" s="422"/>
      <c r="AZ140" s="90">
        <v>2381</v>
      </c>
      <c r="BA140" s="398">
        <f t="shared" si="95"/>
        <v>0.80789673500379644</v>
      </c>
      <c r="BB140" s="90"/>
      <c r="BC140" s="250"/>
    </row>
    <row r="141" spans="1:55" s="252" customFormat="1">
      <c r="A141" s="476"/>
      <c r="B141" s="73" t="s">
        <v>22</v>
      </c>
      <c r="C141" s="90">
        <v>1495460</v>
      </c>
      <c r="D141" s="39">
        <f t="shared" si="93"/>
        <v>0.26746250693923562</v>
      </c>
      <c r="E141" s="178"/>
      <c r="F141" s="38">
        <v>304619</v>
      </c>
      <c r="G141" s="39">
        <f t="shared" si="94"/>
        <v>0.57021721873421372</v>
      </c>
      <c r="H141" s="90">
        <v>399500</v>
      </c>
      <c r="I141" s="39">
        <f t="shared" si="96"/>
        <v>0.22998768472906403</v>
      </c>
      <c r="J141" s="90">
        <v>49826</v>
      </c>
      <c r="K141" s="39">
        <f t="shared" si="84"/>
        <v>0.31553795379537952</v>
      </c>
      <c r="L141" s="253">
        <v>97683</v>
      </c>
      <c r="M141" s="39">
        <f t="shared" si="85"/>
        <v>0.11940914247733869</v>
      </c>
      <c r="N141" s="90">
        <v>86307</v>
      </c>
      <c r="O141" s="39">
        <f t="shared" si="86"/>
        <v>0.12049178199568966</v>
      </c>
      <c r="P141" s="254">
        <v>85297</v>
      </c>
      <c r="Q141" s="250">
        <f t="shared" si="87"/>
        <v>0.41452048888078141</v>
      </c>
      <c r="R141" s="253">
        <v>41215</v>
      </c>
      <c r="S141" s="39">
        <f t="shared" si="88"/>
        <v>0.21309786607799852</v>
      </c>
      <c r="T141" s="90">
        <v>41602</v>
      </c>
      <c r="U141" s="39">
        <f t="shared" si="70"/>
        <v>0.14773636438877699</v>
      </c>
      <c r="V141" s="90">
        <v>735</v>
      </c>
      <c r="W141" s="39">
        <f t="shared" si="89"/>
        <v>-3.4165571616294299E-2</v>
      </c>
      <c r="X141" s="90">
        <v>90465</v>
      </c>
      <c r="Y141" s="250">
        <f t="shared" si="74"/>
        <v>0.22276438148788924</v>
      </c>
      <c r="Z141" s="253">
        <v>27746</v>
      </c>
      <c r="AA141" s="39">
        <f t="shared" si="79"/>
        <v>8.5609202598012413E-2</v>
      </c>
      <c r="AB141" s="90">
        <v>28747</v>
      </c>
      <c r="AC141" s="39">
        <f t="shared" si="80"/>
        <v>0.13270814452894131</v>
      </c>
      <c r="AD141" s="90">
        <v>28773</v>
      </c>
      <c r="AE141" s="39">
        <f t="shared" si="90"/>
        <v>0.16306237115485667</v>
      </c>
      <c r="AF141" s="90">
        <v>2100</v>
      </c>
      <c r="AG141" s="39">
        <f t="shared" si="91"/>
        <v>0.23529411764705888</v>
      </c>
      <c r="AH141" s="90">
        <v>20352</v>
      </c>
      <c r="AI141" s="39">
        <f t="shared" si="92"/>
        <v>-2.7011521728737442E-2</v>
      </c>
      <c r="AJ141" s="412">
        <f>15202-AJ138</f>
        <v>9705</v>
      </c>
      <c r="AK141" s="430">
        <f>(AJ141/AJ129-1)</f>
        <v>6.5312843029637691E-2</v>
      </c>
      <c r="AL141" s="90">
        <v>2565</v>
      </c>
      <c r="AM141" s="251">
        <f t="shared" si="40"/>
        <v>-0.25175029171528585</v>
      </c>
      <c r="AN141" s="412"/>
      <c r="AO141" s="422"/>
      <c r="AP141" s="412"/>
      <c r="AQ141" s="415"/>
      <c r="AR141" s="38">
        <v>38</v>
      </c>
      <c r="AS141" s="402" t="str">
        <f t="shared" si="63"/>
        <v>-</v>
      </c>
      <c r="AT141" s="412"/>
      <c r="AU141" s="418"/>
      <c r="AV141" s="475"/>
      <c r="AW141" s="422"/>
      <c r="AX141" s="425"/>
      <c r="AY141" s="422"/>
      <c r="AZ141" s="90">
        <v>1659</v>
      </c>
      <c r="BA141" s="398">
        <f t="shared" si="95"/>
        <v>4.0777917189460444E-2</v>
      </c>
      <c r="BB141" s="90"/>
      <c r="BC141" s="250"/>
    </row>
    <row r="142" spans="1:55" s="252" customFormat="1">
      <c r="A142" s="476"/>
      <c r="B142" s="15" t="s">
        <v>23</v>
      </c>
      <c r="C142" s="90">
        <v>1579265</v>
      </c>
      <c r="D142" s="39">
        <f t="shared" si="93"/>
        <v>0.29130100253229141</v>
      </c>
      <c r="E142" s="178"/>
      <c r="F142" s="38">
        <v>315389</v>
      </c>
      <c r="G142" s="39">
        <f t="shared" si="94"/>
        <v>0.61520103655070346</v>
      </c>
      <c r="H142" s="90">
        <v>423100</v>
      </c>
      <c r="I142" s="39">
        <f t="shared" si="96"/>
        <v>0.20198863636363637</v>
      </c>
      <c r="J142" s="90">
        <v>54583</v>
      </c>
      <c r="K142" s="39">
        <f t="shared" si="84"/>
        <v>0.41348145846281326</v>
      </c>
      <c r="L142" s="253">
        <v>116583</v>
      </c>
      <c r="M142" s="39">
        <f t="shared" si="85"/>
        <v>0.24902773760164565</v>
      </c>
      <c r="N142" s="90">
        <v>89584</v>
      </c>
      <c r="O142" s="39">
        <f t="shared" si="86"/>
        <v>0.19596822642013212</v>
      </c>
      <c r="P142" s="254">
        <v>81557</v>
      </c>
      <c r="Q142" s="250">
        <f t="shared" si="87"/>
        <v>0.45152793350775089</v>
      </c>
      <c r="R142" s="256">
        <v>52298</v>
      </c>
      <c r="S142" s="39">
        <f t="shared" si="88"/>
        <v>0.31408613498165727</v>
      </c>
      <c r="T142" s="254">
        <v>43883</v>
      </c>
      <c r="U142" s="39">
        <f t="shared" si="70"/>
        <v>4.6178419873170264E-2</v>
      </c>
      <c r="V142" s="90">
        <v>840</v>
      </c>
      <c r="W142" s="39">
        <f t="shared" si="89"/>
        <v>0.16666666666666674</v>
      </c>
      <c r="X142" s="90">
        <v>94086</v>
      </c>
      <c r="Y142" s="250">
        <f t="shared" si="74"/>
        <v>0.19014850608444855</v>
      </c>
      <c r="Z142" s="253">
        <v>22985</v>
      </c>
      <c r="AA142" s="39">
        <f t="shared" si="79"/>
        <v>0.26848785871964687</v>
      </c>
      <c r="AB142" s="90">
        <v>26200</v>
      </c>
      <c r="AC142" s="39">
        <f t="shared" si="80"/>
        <v>7.5931173257771656E-2</v>
      </c>
      <c r="AD142" s="90">
        <v>29136</v>
      </c>
      <c r="AE142" s="39">
        <f t="shared" si="90"/>
        <v>-1.0628544262963113E-2</v>
      </c>
      <c r="AF142" s="90">
        <v>2000</v>
      </c>
      <c r="AG142" s="39">
        <f t="shared" si="91"/>
        <v>-0.13043478260869568</v>
      </c>
      <c r="AH142" s="90">
        <v>22016</v>
      </c>
      <c r="AI142" s="39">
        <f t="shared" si="92"/>
        <v>1.1207054932941496E-2</v>
      </c>
      <c r="AJ142" s="412"/>
      <c r="AK142" s="430"/>
      <c r="AL142" s="90">
        <v>3485</v>
      </c>
      <c r="AM142" s="251">
        <f t="shared" si="40"/>
        <v>-4.3108182317407984E-2</v>
      </c>
      <c r="AN142" s="412"/>
      <c r="AO142" s="422"/>
      <c r="AP142" s="412"/>
      <c r="AQ142" s="415"/>
      <c r="AR142" s="38">
        <v>0</v>
      </c>
      <c r="AS142" s="402" t="str">
        <f t="shared" si="63"/>
        <v>-</v>
      </c>
      <c r="AT142" s="412"/>
      <c r="AU142" s="418"/>
      <c r="AV142" s="475"/>
      <c r="AW142" s="422"/>
      <c r="AX142" s="425"/>
      <c r="AY142" s="422"/>
      <c r="AZ142" s="90">
        <v>708</v>
      </c>
      <c r="BA142" s="398">
        <f t="shared" si="95"/>
        <v>-0.29411764705882348</v>
      </c>
      <c r="BB142" s="90"/>
      <c r="BC142" s="250"/>
    </row>
    <row r="143" spans="1:55" s="252" customFormat="1">
      <c r="A143" s="476"/>
      <c r="B143" s="73" t="s">
        <v>24</v>
      </c>
      <c r="C143" s="90">
        <v>1373551</v>
      </c>
      <c r="D143" s="39">
        <f t="shared" si="93"/>
        <v>8.116249579869636E-2</v>
      </c>
      <c r="E143" s="178"/>
      <c r="F143" s="38">
        <v>251504</v>
      </c>
      <c r="G143" s="39">
        <f t="shared" si="94"/>
        <v>0.21155365435381621</v>
      </c>
      <c r="H143" s="90">
        <v>325700</v>
      </c>
      <c r="I143" s="39">
        <f t="shared" si="96"/>
        <v>-8.0981941309255082E-2</v>
      </c>
      <c r="J143" s="90">
        <v>36696</v>
      </c>
      <c r="K143" s="39">
        <f t="shared" si="84"/>
        <v>8.4717706177948493E-2</v>
      </c>
      <c r="L143" s="253">
        <v>68975</v>
      </c>
      <c r="M143" s="39">
        <f t="shared" si="85"/>
        <v>-0.28341384863123997</v>
      </c>
      <c r="N143" s="90">
        <v>91776</v>
      </c>
      <c r="O143" s="39">
        <f t="shared" si="86"/>
        <v>0.4004333628345591</v>
      </c>
      <c r="P143" s="254">
        <v>72927</v>
      </c>
      <c r="Q143" s="250">
        <f t="shared" si="87"/>
        <v>0.43982230997038507</v>
      </c>
      <c r="R143" s="253">
        <v>31406</v>
      </c>
      <c r="S143" s="39">
        <f t="shared" si="88"/>
        <v>-0.24840855789020244</v>
      </c>
      <c r="T143" s="90">
        <v>37193</v>
      </c>
      <c r="U143" s="39">
        <f t="shared" si="70"/>
        <v>-1.0534996940594323E-2</v>
      </c>
      <c r="V143" s="90">
        <v>941</v>
      </c>
      <c r="W143" s="39">
        <f t="shared" si="89"/>
        <v>5.8492688413948279E-2</v>
      </c>
      <c r="X143" s="90">
        <v>96954</v>
      </c>
      <c r="Y143" s="250">
        <f t="shared" si="74"/>
        <v>2.3866348448687402E-2</v>
      </c>
      <c r="Z143" s="253">
        <v>17282</v>
      </c>
      <c r="AA143" s="39">
        <f t="shared" si="79"/>
        <v>-0.1635448429408064</v>
      </c>
      <c r="AB143" s="254">
        <v>27224</v>
      </c>
      <c r="AC143" s="376">
        <f t="shared" si="80"/>
        <v>3.5802610052124928E-2</v>
      </c>
      <c r="AD143" s="90">
        <v>25926</v>
      </c>
      <c r="AE143" s="39">
        <f t="shared" si="90"/>
        <v>1.738727251651806E-3</v>
      </c>
      <c r="AF143" s="90">
        <v>1500</v>
      </c>
      <c r="AG143" s="39">
        <f t="shared" si="91"/>
        <v>0</v>
      </c>
      <c r="AH143" s="90">
        <v>18488</v>
      </c>
      <c r="AI143" s="39">
        <f t="shared" si="92"/>
        <v>-0.10413335271599555</v>
      </c>
      <c r="AJ143" s="412"/>
      <c r="AK143" s="430"/>
      <c r="AL143" s="90">
        <v>2734</v>
      </c>
      <c r="AM143" s="251">
        <f t="shared" si="40"/>
        <v>-0.12985359643539152</v>
      </c>
      <c r="AN143" s="412"/>
      <c r="AO143" s="422"/>
      <c r="AP143" s="412"/>
      <c r="AQ143" s="415"/>
      <c r="AR143" s="38">
        <v>0</v>
      </c>
      <c r="AS143" s="99">
        <f t="shared" si="63"/>
        <v>-1</v>
      </c>
      <c r="AT143" s="412"/>
      <c r="AU143" s="418"/>
      <c r="AV143" s="475"/>
      <c r="AW143" s="422"/>
      <c r="AX143" s="425"/>
      <c r="AY143" s="422"/>
      <c r="AZ143" s="90">
        <v>619</v>
      </c>
      <c r="BA143" s="398">
        <f t="shared" si="95"/>
        <v>6.9084628670120996E-2</v>
      </c>
      <c r="BB143" s="90"/>
      <c r="BC143" s="250"/>
    </row>
    <row r="144" spans="1:55" s="252" customFormat="1">
      <c r="A144" s="476"/>
      <c r="B144" s="15" t="s">
        <v>25</v>
      </c>
      <c r="C144" s="90">
        <v>1675332</v>
      </c>
      <c r="D144" s="39">
        <f>(C144-C132)/C132</f>
        <v>0.1515931797950914</v>
      </c>
      <c r="E144" s="178"/>
      <c r="F144" s="38">
        <v>343799</v>
      </c>
      <c r="G144" s="39">
        <f t="shared" si="94"/>
        <v>0.37113196485616634</v>
      </c>
      <c r="H144" s="90">
        <v>344200</v>
      </c>
      <c r="I144" s="39">
        <f t="shared" si="96"/>
        <v>-4.7592695074709465E-2</v>
      </c>
      <c r="J144" s="90">
        <v>45349</v>
      </c>
      <c r="K144" s="39">
        <f t="shared" si="84"/>
        <v>0.22943664262863961</v>
      </c>
      <c r="L144" s="253">
        <v>82370</v>
      </c>
      <c r="M144" s="39">
        <f t="shared" si="85"/>
        <v>-0.22446827541403436</v>
      </c>
      <c r="N144" s="90">
        <v>121499</v>
      </c>
      <c r="O144" s="39">
        <f t="shared" si="86"/>
        <v>0.36226440480328281</v>
      </c>
      <c r="P144" s="90">
        <v>73108</v>
      </c>
      <c r="Q144" s="250">
        <f t="shared" si="87"/>
        <v>0.29509300265721872</v>
      </c>
      <c r="R144" s="253">
        <v>37050</v>
      </c>
      <c r="S144" s="39">
        <f t="shared" si="88"/>
        <v>-0.22461963459807877</v>
      </c>
      <c r="T144" s="90">
        <v>48375</v>
      </c>
      <c r="U144" s="39">
        <f t="shared" si="70"/>
        <v>3.6621951742167744E-2</v>
      </c>
      <c r="V144" s="90">
        <v>1447</v>
      </c>
      <c r="W144" s="39">
        <f t="shared" si="89"/>
        <v>0.1603849238171613</v>
      </c>
      <c r="X144" s="90">
        <v>119292</v>
      </c>
      <c r="Y144" s="250">
        <f t="shared" si="74"/>
        <v>4.406732191463103E-2</v>
      </c>
      <c r="Z144" s="253">
        <v>24129</v>
      </c>
      <c r="AA144" s="39">
        <f t="shared" si="79"/>
        <v>-6.6937354988399034E-2</v>
      </c>
      <c r="AB144" s="90">
        <v>28583</v>
      </c>
      <c r="AC144" s="376">
        <f t="shared" si="80"/>
        <v>7.5114722034153258E-2</v>
      </c>
      <c r="AD144" s="90">
        <v>37299</v>
      </c>
      <c r="AE144" s="307">
        <f t="shared" si="90"/>
        <v>5.7767568487323562E-2</v>
      </c>
      <c r="AF144" s="90">
        <v>1400</v>
      </c>
      <c r="AG144" s="39">
        <f t="shared" si="91"/>
        <v>0.55555555555555558</v>
      </c>
      <c r="AH144" s="90">
        <v>22529</v>
      </c>
      <c r="AI144" s="39">
        <f t="shared" si="92"/>
        <v>-5.866376969038567E-2</v>
      </c>
      <c r="AJ144" s="412">
        <f>41240-AJ141-AJ138</f>
        <v>26038</v>
      </c>
      <c r="AK144" s="430">
        <f>(AJ144/AJ132-1)</f>
        <v>7.8267351333443758E-2</v>
      </c>
      <c r="AL144" s="90">
        <v>2084</v>
      </c>
      <c r="AM144" s="251">
        <f t="shared" si="40"/>
        <v>2.5086079685194385E-2</v>
      </c>
      <c r="AN144" s="412"/>
      <c r="AO144" s="422"/>
      <c r="AP144" s="412"/>
      <c r="AQ144" s="415"/>
      <c r="AR144" s="38">
        <v>0</v>
      </c>
      <c r="AS144" s="402" t="str">
        <f t="shared" si="63"/>
        <v>-</v>
      </c>
      <c r="AT144" s="412"/>
      <c r="AU144" s="418"/>
      <c r="AV144" s="475"/>
      <c r="AW144" s="422"/>
      <c r="AX144" s="425"/>
      <c r="AY144" s="422"/>
      <c r="AZ144" s="90">
        <v>870</v>
      </c>
      <c r="BA144" s="398">
        <f t="shared" si="95"/>
        <v>-0.27620632279534107</v>
      </c>
      <c r="BB144" s="90"/>
      <c r="BC144" s="250"/>
    </row>
    <row r="145" spans="1:68" s="252" customFormat="1">
      <c r="A145" s="476"/>
      <c r="B145" s="73" t="s">
        <v>26</v>
      </c>
      <c r="C145" s="90">
        <v>1835249</v>
      </c>
      <c r="D145" s="39">
        <f t="shared" si="93"/>
        <v>0.18617974615965815</v>
      </c>
      <c r="E145" s="178"/>
      <c r="F145" s="38">
        <v>390971</v>
      </c>
      <c r="G145" s="39">
        <f t="shared" si="94"/>
        <v>0.55500182954961264</v>
      </c>
      <c r="H145" s="90">
        <v>428000</v>
      </c>
      <c r="I145" s="39">
        <f t="shared" si="96"/>
        <v>5.7051123734255374E-2</v>
      </c>
      <c r="J145" s="90">
        <v>54320</v>
      </c>
      <c r="K145" s="39">
        <f t="shared" si="84"/>
        <v>0.23834492191952572</v>
      </c>
      <c r="L145" s="253">
        <v>96589</v>
      </c>
      <c r="M145" s="39">
        <f t="shared" si="85"/>
        <v>-0.22571465217321596</v>
      </c>
      <c r="N145" s="90">
        <v>137404</v>
      </c>
      <c r="O145" s="39">
        <f t="shared" si="86"/>
        <v>0.20047528351010846</v>
      </c>
      <c r="P145" s="90">
        <v>104146</v>
      </c>
      <c r="Q145" s="250">
        <f t="shared" si="87"/>
        <v>0.19082520552957449</v>
      </c>
      <c r="R145" s="253">
        <v>43710</v>
      </c>
      <c r="S145" s="39">
        <f t="shared" si="88"/>
        <v>-0.24787060139378814</v>
      </c>
      <c r="T145" s="90">
        <v>60468</v>
      </c>
      <c r="U145" s="39">
        <f t="shared" si="70"/>
        <v>6.7905268177242462E-2</v>
      </c>
      <c r="V145" s="90">
        <v>1272</v>
      </c>
      <c r="W145" s="39">
        <f t="shared" si="89"/>
        <v>0.14697926059513078</v>
      </c>
      <c r="X145" s="90">
        <v>139472</v>
      </c>
      <c r="Y145" s="250">
        <f t="shared" si="74"/>
        <v>0.14674735249621795</v>
      </c>
      <c r="Z145" s="253">
        <v>25977</v>
      </c>
      <c r="AA145" s="39">
        <f t="shared" si="79"/>
        <v>-4.6120515550985952E-2</v>
      </c>
      <c r="AB145" s="90">
        <v>29050</v>
      </c>
      <c r="AC145" s="392">
        <f t="shared" si="80"/>
        <v>2.8354986017204098E-2</v>
      </c>
      <c r="AD145" s="90">
        <v>42512</v>
      </c>
      <c r="AE145" s="307">
        <f t="shared" si="90"/>
        <v>-1.42602082222274E-2</v>
      </c>
      <c r="AF145" s="90">
        <v>1100</v>
      </c>
      <c r="AG145" s="39">
        <f t="shared" si="91"/>
        <v>1.75</v>
      </c>
      <c r="AH145" s="90">
        <v>19690</v>
      </c>
      <c r="AI145" s="39">
        <f t="shared" si="92"/>
        <v>-0.15573278449532635</v>
      </c>
      <c r="AJ145" s="412"/>
      <c r="AK145" s="430"/>
      <c r="AL145" s="90">
        <v>2077</v>
      </c>
      <c r="AM145" s="251">
        <f t="shared" si="40"/>
        <v>-3.2152842497670031E-2</v>
      </c>
      <c r="AN145" s="412"/>
      <c r="AO145" s="422"/>
      <c r="AP145" s="412"/>
      <c r="AQ145" s="415"/>
      <c r="AR145" s="38">
        <v>0</v>
      </c>
      <c r="AS145" s="402" t="str">
        <f t="shared" si="63"/>
        <v>-</v>
      </c>
      <c r="AT145" s="412"/>
      <c r="AU145" s="418"/>
      <c r="AV145" s="475"/>
      <c r="AW145" s="422"/>
      <c r="AX145" s="425"/>
      <c r="AY145" s="422"/>
      <c r="AZ145" s="90">
        <v>885</v>
      </c>
      <c r="BA145" s="398">
        <f t="shared" si="95"/>
        <v>-0.32131901840490795</v>
      </c>
      <c r="BB145" s="90"/>
      <c r="BC145" s="250"/>
    </row>
    <row r="146" spans="1:68" s="252" customFormat="1">
      <c r="A146" s="476"/>
      <c r="B146" s="73" t="s">
        <v>27</v>
      </c>
      <c r="C146" s="90">
        <v>1511657</v>
      </c>
      <c r="D146" s="39">
        <f t="shared" si="93"/>
        <v>0.14407402445937426</v>
      </c>
      <c r="E146" s="178"/>
      <c r="F146" s="38">
        <v>301645</v>
      </c>
      <c r="G146" s="39">
        <f t="shared" si="94"/>
        <v>0.38566946423567566</v>
      </c>
      <c r="H146" s="90">
        <v>373300</v>
      </c>
      <c r="I146" s="39">
        <f t="shared" si="96"/>
        <v>1.083130246412131E-2</v>
      </c>
      <c r="J146" s="90">
        <v>46770</v>
      </c>
      <c r="K146" s="39">
        <f t="shared" si="84"/>
        <v>0.24282525510204089</v>
      </c>
      <c r="L146" s="253">
        <v>86018</v>
      </c>
      <c r="M146" s="39">
        <f t="shared" si="85"/>
        <v>-0.15294928606597735</v>
      </c>
      <c r="N146" s="90">
        <v>94249</v>
      </c>
      <c r="O146" s="39">
        <f t="shared" si="86"/>
        <v>0.15833394784062138</v>
      </c>
      <c r="P146" s="90">
        <v>80199</v>
      </c>
      <c r="Q146" s="250">
        <f t="shared" si="87"/>
        <v>0.16259078323644949</v>
      </c>
      <c r="R146" s="253">
        <v>36223</v>
      </c>
      <c r="S146" s="39">
        <f t="shared" si="88"/>
        <v>-0.2262026830727164</v>
      </c>
      <c r="T146" s="90">
        <v>39063</v>
      </c>
      <c r="U146" s="39">
        <f t="shared" si="70"/>
        <v>-5.4231591811793461E-3</v>
      </c>
      <c r="V146" s="90">
        <v>1000</v>
      </c>
      <c r="W146" s="39">
        <f t="shared" si="89"/>
        <v>0.29870129870129869</v>
      </c>
      <c r="X146" s="90">
        <v>95386</v>
      </c>
      <c r="Y146" s="250">
        <f t="shared" si="74"/>
        <v>0.16185534361373</v>
      </c>
      <c r="Z146" s="253">
        <v>18676</v>
      </c>
      <c r="AA146" s="39">
        <f t="shared" si="79"/>
        <v>-0.13537037037037036</v>
      </c>
      <c r="AB146" s="90">
        <v>25392</v>
      </c>
      <c r="AC146" s="392">
        <f t="shared" si="80"/>
        <v>2.5152408252250735E-2</v>
      </c>
      <c r="AD146" s="90">
        <v>27014</v>
      </c>
      <c r="AE146" s="307">
        <f t="shared" si="90"/>
        <v>-1.0367439645382226E-2</v>
      </c>
      <c r="AF146" s="90">
        <v>2000</v>
      </c>
      <c r="AG146" s="39">
        <f t="shared" si="91"/>
        <v>1.5</v>
      </c>
      <c r="AH146" s="90">
        <v>16778</v>
      </c>
      <c r="AI146" s="39">
        <f t="shared" si="92"/>
        <v>-0.20479643585004026</v>
      </c>
      <c r="AJ146" s="412"/>
      <c r="AK146" s="430"/>
      <c r="AL146" s="90">
        <v>2108</v>
      </c>
      <c r="AM146" s="251">
        <f t="shared" si="40"/>
        <v>-0.34716630535769588</v>
      </c>
      <c r="AN146" s="412"/>
      <c r="AO146" s="422"/>
      <c r="AP146" s="412"/>
      <c r="AQ146" s="415"/>
      <c r="AR146" s="38">
        <v>0</v>
      </c>
      <c r="AS146" s="402" t="str">
        <f t="shared" si="63"/>
        <v>-</v>
      </c>
      <c r="AT146" s="412"/>
      <c r="AU146" s="418"/>
      <c r="AV146" s="475"/>
      <c r="AW146" s="422"/>
      <c r="AX146" s="425"/>
      <c r="AY146" s="422"/>
      <c r="AZ146" s="90">
        <v>886</v>
      </c>
      <c r="BA146" s="195" t="s">
        <v>229</v>
      </c>
      <c r="BB146" s="90"/>
      <c r="BC146" s="250"/>
    </row>
    <row r="147" spans="1:68" s="252" customFormat="1">
      <c r="A147" s="476"/>
      <c r="B147" s="15" t="s">
        <v>28</v>
      </c>
      <c r="C147" s="90">
        <v>1735308</v>
      </c>
      <c r="D147" s="39">
        <f t="shared" si="93"/>
        <v>0.21172264506668528</v>
      </c>
      <c r="E147" s="178"/>
      <c r="F147" s="38">
        <v>370800</v>
      </c>
      <c r="G147" s="39">
        <f t="shared" si="94"/>
        <v>0.48571382779663191</v>
      </c>
      <c r="H147" s="90">
        <v>447400</v>
      </c>
      <c r="I147" s="39">
        <f t="shared" si="96"/>
        <v>8.0937424498671182E-2</v>
      </c>
      <c r="J147" s="90">
        <v>59864</v>
      </c>
      <c r="K147" s="39">
        <f t="shared" si="84"/>
        <v>0.24758252750916965</v>
      </c>
      <c r="L147" s="253">
        <v>101826</v>
      </c>
      <c r="M147" s="39">
        <f t="shared" si="85"/>
        <v>-1.5346233065475334E-2</v>
      </c>
      <c r="N147" s="90">
        <v>108923</v>
      </c>
      <c r="O147" s="39">
        <f t="shared" si="86"/>
        <v>0.15998935037273698</v>
      </c>
      <c r="P147" s="90">
        <v>86775</v>
      </c>
      <c r="Q147" s="250">
        <f t="shared" si="87"/>
        <v>0.24662395126996906</v>
      </c>
      <c r="R147" s="253">
        <v>42671</v>
      </c>
      <c r="S147" s="39">
        <f t="shared" si="88"/>
        <v>-5.4256521642766953E-2</v>
      </c>
      <c r="T147" s="90">
        <v>50582</v>
      </c>
      <c r="U147" s="39">
        <f t="shared" si="70"/>
        <v>0.12881053336308859</v>
      </c>
      <c r="V147" s="90">
        <v>1106</v>
      </c>
      <c r="W147" s="39">
        <f t="shared" si="89"/>
        <v>-9.4185094185094131E-2</v>
      </c>
      <c r="X147" s="90">
        <v>102057</v>
      </c>
      <c r="Y147" s="250">
        <f t="shared" si="74"/>
        <v>0.10524263853842908</v>
      </c>
      <c r="Z147" s="253">
        <v>27189</v>
      </c>
      <c r="AA147" s="39">
        <f t="shared" si="79"/>
        <v>-3.4447245995951614E-2</v>
      </c>
      <c r="AB147" s="90"/>
      <c r="AC147" s="39"/>
      <c r="AD147" s="90">
        <v>32190</v>
      </c>
      <c r="AE147" s="307">
        <f t="shared" si="90"/>
        <v>4.7715141257648641E-2</v>
      </c>
      <c r="AF147" s="90">
        <v>2100</v>
      </c>
      <c r="AG147" s="39">
        <f t="shared" si="91"/>
        <v>0.90909090909090917</v>
      </c>
      <c r="AH147" s="90">
        <v>18328</v>
      </c>
      <c r="AI147" s="39">
        <f t="shared" si="92"/>
        <v>-0.19825021872265969</v>
      </c>
      <c r="AJ147" s="429">
        <f>47213-AJ144-AJ141-AJ138</f>
        <v>5973</v>
      </c>
      <c r="AK147" s="430">
        <f>(AJ147/AJ135-1)</f>
        <v>-2.1781853914182747E-2</v>
      </c>
      <c r="AL147" s="90">
        <v>3704</v>
      </c>
      <c r="AM147" s="251">
        <f t="shared" si="40"/>
        <v>-1.1739594450373536E-2</v>
      </c>
      <c r="AN147" s="412"/>
      <c r="AO147" s="422"/>
      <c r="AP147" s="412"/>
      <c r="AQ147" s="415"/>
      <c r="AR147" s="38">
        <v>0</v>
      </c>
      <c r="AS147" s="402" t="str">
        <f t="shared" si="63"/>
        <v>-</v>
      </c>
      <c r="AT147" s="412"/>
      <c r="AU147" s="418"/>
      <c r="AV147" s="475"/>
      <c r="AW147" s="422"/>
      <c r="AX147" s="425"/>
      <c r="AY147" s="422"/>
      <c r="AZ147" s="90">
        <v>1364</v>
      </c>
      <c r="BA147" s="195" t="s">
        <v>229</v>
      </c>
      <c r="BB147" s="90"/>
      <c r="BC147" s="250"/>
    </row>
    <row r="148" spans="1:68" s="252" customFormat="1">
      <c r="A148" s="476"/>
      <c r="B148" s="15" t="s">
        <v>29</v>
      </c>
      <c r="C148" s="90">
        <v>1626063</v>
      </c>
      <c r="D148" s="39">
        <f t="shared" si="93"/>
        <v>0.26173265029633275</v>
      </c>
      <c r="E148" s="178"/>
      <c r="F148" s="38">
        <v>359800</v>
      </c>
      <c r="G148" s="39">
        <f t="shared" si="94"/>
        <v>0.50525668433537352</v>
      </c>
      <c r="H148" s="90">
        <v>370700</v>
      </c>
      <c r="I148" s="39">
        <f t="shared" si="96"/>
        <v>0.10623694419576246</v>
      </c>
      <c r="J148" s="90">
        <v>59168</v>
      </c>
      <c r="K148" s="39">
        <f t="shared" si="84"/>
        <v>0.22633062510363122</v>
      </c>
      <c r="L148" s="253">
        <v>108800</v>
      </c>
      <c r="M148" s="39">
        <f t="shared" si="85"/>
        <v>0.14280912566698878</v>
      </c>
      <c r="N148" s="90">
        <v>123303</v>
      </c>
      <c r="O148" s="39">
        <f t="shared" si="86"/>
        <v>0.3657690987029385</v>
      </c>
      <c r="P148" s="90">
        <v>100782</v>
      </c>
      <c r="Q148" s="250">
        <f t="shared" si="87"/>
        <v>0.28994355488998957</v>
      </c>
      <c r="R148" s="253">
        <v>46071</v>
      </c>
      <c r="S148" s="39">
        <f t="shared" si="88"/>
        <v>0.10768897864974036</v>
      </c>
      <c r="T148" s="90">
        <v>44988</v>
      </c>
      <c r="U148" s="39">
        <f t="shared" si="70"/>
        <v>0.11826994780014914</v>
      </c>
      <c r="V148" s="90">
        <v>1542</v>
      </c>
      <c r="W148" s="39">
        <f t="shared" si="89"/>
        <v>0.21704814522494087</v>
      </c>
      <c r="X148" s="90">
        <v>105330</v>
      </c>
      <c r="Y148" s="250">
        <f t="shared" si="74"/>
        <v>5.0746685554103443E-2</v>
      </c>
      <c r="Z148" s="253">
        <v>28625</v>
      </c>
      <c r="AA148" s="39">
        <f t="shared" si="79"/>
        <v>-0.1437331737959916</v>
      </c>
      <c r="AB148" s="90"/>
      <c r="AC148" s="39"/>
      <c r="AD148" s="90">
        <v>34200</v>
      </c>
      <c r="AE148" s="307">
        <f t="shared" si="90"/>
        <v>0.17275907002263224</v>
      </c>
      <c r="AF148" s="90">
        <v>1300</v>
      </c>
      <c r="AG148" s="39">
        <f t="shared" si="91"/>
        <v>8.3333333333333259E-2</v>
      </c>
      <c r="AH148" s="90">
        <v>13595</v>
      </c>
      <c r="AI148" s="39">
        <f t="shared" si="92"/>
        <v>-0.25038597265108076</v>
      </c>
      <c r="AJ148" s="429"/>
      <c r="AK148" s="430"/>
      <c r="AL148" s="90">
        <v>4521</v>
      </c>
      <c r="AM148" s="251">
        <f t="shared" si="40"/>
        <v>0.54722792607802884</v>
      </c>
      <c r="AN148" s="412"/>
      <c r="AO148" s="422"/>
      <c r="AP148" s="412"/>
      <c r="AQ148" s="415"/>
      <c r="AR148" s="38">
        <v>0</v>
      </c>
      <c r="AS148" s="402" t="str">
        <f t="shared" si="63"/>
        <v>-</v>
      </c>
      <c r="AT148" s="412"/>
      <c r="AU148" s="418"/>
      <c r="AV148" s="475"/>
      <c r="AW148" s="422"/>
      <c r="AX148" s="425"/>
      <c r="AY148" s="422"/>
      <c r="AZ148" s="90">
        <v>1931</v>
      </c>
      <c r="BA148" s="195" t="s">
        <v>229</v>
      </c>
      <c r="BB148" s="90"/>
      <c r="BC148" s="250"/>
    </row>
    <row r="149" spans="1:68" s="252" customFormat="1">
      <c r="A149" s="476"/>
      <c r="B149" s="294" t="s">
        <v>30</v>
      </c>
      <c r="C149" s="280">
        <v>1781715</v>
      </c>
      <c r="D149" s="39">
        <f t="shared" ref="D149:D154" si="97">C149/C137-1</f>
        <v>0.24536495659048119</v>
      </c>
      <c r="E149" s="178"/>
      <c r="F149" s="38">
        <v>415700</v>
      </c>
      <c r="G149" s="39">
        <f t="shared" si="94"/>
        <v>0.53449758769744149</v>
      </c>
      <c r="H149" s="90">
        <v>339600</v>
      </c>
      <c r="I149" s="39">
        <f t="shared" si="96"/>
        <v>-4.7138047138047139E-2</v>
      </c>
      <c r="J149" s="90">
        <v>69555</v>
      </c>
      <c r="K149" s="39">
        <f t="shared" si="84"/>
        <v>0.38404138891652573</v>
      </c>
      <c r="L149" s="253">
        <v>119238</v>
      </c>
      <c r="M149" s="39">
        <f t="shared" ref="M149:M154" si="98">L149/L137-1</f>
        <v>8.8076944135199842E-2</v>
      </c>
      <c r="N149" s="90">
        <v>149315</v>
      </c>
      <c r="O149" s="39">
        <f t="shared" si="86"/>
        <v>0.30857543490644579</v>
      </c>
      <c r="P149" s="90">
        <v>114741</v>
      </c>
      <c r="Q149" s="250">
        <f t="shared" si="87"/>
        <v>0.38037606919865752</v>
      </c>
      <c r="R149" s="253">
        <v>54856</v>
      </c>
      <c r="S149" s="39">
        <f t="shared" si="88"/>
        <v>0.15861952435263804</v>
      </c>
      <c r="T149" s="90">
        <v>44821</v>
      </c>
      <c r="U149" s="39">
        <f t="shared" si="70"/>
        <v>9.5385893738696909E-2</v>
      </c>
      <c r="V149" s="90">
        <v>1395</v>
      </c>
      <c r="W149" s="39">
        <f t="shared" si="89"/>
        <v>5.2830188679245271E-2</v>
      </c>
      <c r="X149" s="90">
        <v>135156</v>
      </c>
      <c r="Y149" s="250">
        <f t="shared" si="74"/>
        <v>0.15577219086711125</v>
      </c>
      <c r="Z149" s="253">
        <v>42753</v>
      </c>
      <c r="AA149" s="257">
        <f t="shared" si="79"/>
        <v>-7.2341441187319666E-2</v>
      </c>
      <c r="AB149" s="90"/>
      <c r="AC149" s="250"/>
      <c r="AD149" s="90">
        <v>42933</v>
      </c>
      <c r="AE149" s="39">
        <f t="shared" si="90"/>
        <v>0.37986115574982326</v>
      </c>
      <c r="AF149" s="90">
        <v>1100</v>
      </c>
      <c r="AG149" s="39">
        <f t="shared" si="91"/>
        <v>0.375</v>
      </c>
      <c r="AH149" s="90">
        <v>11530</v>
      </c>
      <c r="AI149" s="39">
        <f t="shared" si="92"/>
        <v>-0.32687255531554671</v>
      </c>
      <c r="AJ149" s="429"/>
      <c r="AK149" s="430"/>
      <c r="AL149" s="90">
        <v>2758</v>
      </c>
      <c r="AM149" s="251">
        <f t="shared" si="40"/>
        <v>-0.246448087431694</v>
      </c>
      <c r="AN149" s="412"/>
      <c r="AO149" s="423"/>
      <c r="AP149" s="413"/>
      <c r="AQ149" s="416"/>
      <c r="AR149" s="38">
        <v>0</v>
      </c>
      <c r="AS149" s="402" t="str">
        <f t="shared" si="63"/>
        <v>-</v>
      </c>
      <c r="AT149" s="413"/>
      <c r="AU149" s="419"/>
      <c r="AV149" s="475"/>
      <c r="AW149" s="422"/>
      <c r="AX149" s="425"/>
      <c r="AY149" s="423"/>
      <c r="AZ149" s="90">
        <v>1658</v>
      </c>
      <c r="BA149" s="195" t="s">
        <v>229</v>
      </c>
      <c r="BB149" s="90"/>
      <c r="BC149" s="250"/>
    </row>
    <row r="150" spans="1:68" s="335" customFormat="1">
      <c r="A150" s="457" t="s">
        <v>221</v>
      </c>
      <c r="B150" s="326" t="s">
        <v>220</v>
      </c>
      <c r="C150" s="327">
        <v>2112337</v>
      </c>
      <c r="D150" s="290">
        <f t="shared" si="97"/>
        <v>0.15142722581925261</v>
      </c>
      <c r="E150" s="295"/>
      <c r="F150" s="247">
        <v>514900</v>
      </c>
      <c r="G150" s="290">
        <f t="shared" ref="G150:G155" si="99">F150/F138-1</f>
        <v>0.43789462513927946</v>
      </c>
      <c r="H150" s="315">
        <v>367700</v>
      </c>
      <c r="I150" s="290">
        <f>H150/H138-1</f>
        <v>0</v>
      </c>
      <c r="J150" s="315">
        <v>85640</v>
      </c>
      <c r="K150" s="290">
        <f t="shared" ref="K150:K155" si="100">J150/J138-1</f>
        <v>0.13881464342229499</v>
      </c>
      <c r="L150" s="333">
        <v>146962</v>
      </c>
      <c r="M150" s="290">
        <f t="shared" si="98"/>
        <v>-4.0255902843666647E-3</v>
      </c>
      <c r="N150" s="315">
        <v>174970</v>
      </c>
      <c r="O150" s="290">
        <f t="shared" ref="O150:O155" si="101">N150/N138-1</f>
        <v>0.14313154146685658</v>
      </c>
      <c r="P150" s="315">
        <v>149330</v>
      </c>
      <c r="Q150" s="290">
        <f t="shared" ref="Q150:Q155" si="102">P150/P138-1</f>
        <v>0.2823529411764707</v>
      </c>
      <c r="R150" s="333">
        <v>69233</v>
      </c>
      <c r="S150" s="290">
        <f t="shared" ref="S150:S155" si="103">R150/R138-1</f>
        <v>6.4252591181985785E-3</v>
      </c>
      <c r="T150" s="315">
        <v>74180</v>
      </c>
      <c r="U150" s="290">
        <f t="shared" ref="U150:U160" si="104">T150/T138-1</f>
        <v>3.2859927596769811E-2</v>
      </c>
      <c r="V150" s="315">
        <v>2105</v>
      </c>
      <c r="W150" s="290">
        <f t="shared" ref="W150:W155" si="105">V150/V138-1</f>
        <v>0.13415948275862077</v>
      </c>
      <c r="X150" s="315">
        <v>147165</v>
      </c>
      <c r="Y150" s="290">
        <f t="shared" si="74"/>
        <v>1.3590372579974641E-5</v>
      </c>
      <c r="Z150" s="333">
        <v>59945</v>
      </c>
      <c r="AA150" s="248">
        <f t="shared" si="79"/>
        <v>-0.17949876127513376</v>
      </c>
      <c r="AB150" s="315">
        <v>35636</v>
      </c>
      <c r="AC150" s="30">
        <f t="shared" ref="AC150:AC158" si="106">(AB150/AB138-1)</f>
        <v>-7.7265665458311705E-2</v>
      </c>
      <c r="AD150" s="315">
        <v>61933</v>
      </c>
      <c r="AE150" s="290">
        <f t="shared" si="90"/>
        <v>0.12000651029893117</v>
      </c>
      <c r="AF150" s="315"/>
      <c r="AG150" s="290"/>
      <c r="AH150" s="315">
        <v>13773</v>
      </c>
      <c r="AI150" s="290">
        <f t="shared" ref="AI150:AI161" si="107">AH150/AH138-1</f>
        <v>-0.45327881867259445</v>
      </c>
      <c r="AJ150" s="478">
        <v>5353</v>
      </c>
      <c r="AK150" s="420">
        <f>(AJ150/AJ138-1)</f>
        <v>-2.6196106967436794E-2</v>
      </c>
      <c r="AL150" s="315">
        <v>1896</v>
      </c>
      <c r="AM150" s="248">
        <f t="shared" ref="AM150:AM155" si="108">AL150/AL138-1</f>
        <v>-0.11111111111111116</v>
      </c>
      <c r="AN150" s="315"/>
      <c r="AO150" s="290"/>
      <c r="AP150" s="292"/>
      <c r="AQ150" s="293"/>
      <c r="AR150" s="247">
        <v>0</v>
      </c>
      <c r="AS150" s="404" t="str">
        <f t="shared" si="63"/>
        <v>-</v>
      </c>
      <c r="AT150" s="315"/>
      <c r="AU150" s="290"/>
      <c r="AV150" s="334"/>
      <c r="AW150" s="290"/>
      <c r="AX150" s="320"/>
      <c r="AY150" s="323"/>
      <c r="AZ150" s="315"/>
      <c r="BA150" s="290"/>
      <c r="BB150" s="315"/>
      <c r="BC150" s="290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</row>
    <row r="151" spans="1:68" s="252" customFormat="1">
      <c r="A151" s="461"/>
      <c r="B151" s="294" t="s">
        <v>223</v>
      </c>
      <c r="C151" s="312">
        <v>1876928</v>
      </c>
      <c r="D151" s="307">
        <f t="shared" si="97"/>
        <v>0.29836491056710357</v>
      </c>
      <c r="E151" s="178"/>
      <c r="F151" s="306">
        <v>490800</v>
      </c>
      <c r="G151" s="307">
        <f t="shared" si="99"/>
        <v>0.52623330099261145</v>
      </c>
      <c r="H151" s="254">
        <v>330400</v>
      </c>
      <c r="I151" s="307">
        <f>H151/H139-1</f>
        <v>0.17915774446823707</v>
      </c>
      <c r="J151" s="90">
        <v>76407</v>
      </c>
      <c r="K151" s="307">
        <f t="shared" si="100"/>
        <v>0.3243950634403383</v>
      </c>
      <c r="L151" s="256">
        <v>127996</v>
      </c>
      <c r="M151" s="307">
        <f t="shared" si="98"/>
        <v>7.7897360753204303E-2</v>
      </c>
      <c r="N151" s="90">
        <v>147688</v>
      </c>
      <c r="O151" s="307">
        <f t="shared" si="101"/>
        <v>0.25872957700863375</v>
      </c>
      <c r="P151" s="90">
        <v>142234</v>
      </c>
      <c r="Q151" s="250">
        <f t="shared" si="102"/>
        <v>-2.2869822688457941E-2</v>
      </c>
      <c r="R151" s="253">
        <v>63013</v>
      </c>
      <c r="S151" s="307">
        <f t="shared" si="103"/>
        <v>0.12043029871977251</v>
      </c>
      <c r="T151" s="254">
        <v>57595</v>
      </c>
      <c r="U151" s="307">
        <f t="shared" si="104"/>
        <v>0.12019838568511143</v>
      </c>
      <c r="V151" s="90">
        <v>1322</v>
      </c>
      <c r="W151" s="307">
        <f t="shared" si="105"/>
        <v>0.1406384814495254</v>
      </c>
      <c r="X151" s="254">
        <v>137598</v>
      </c>
      <c r="Y151" s="250">
        <f t="shared" si="74"/>
        <v>0.13512844627035592</v>
      </c>
      <c r="Z151" s="253">
        <v>43764</v>
      </c>
      <c r="AA151" s="257">
        <f t="shared" si="79"/>
        <v>-0.1179458239277652</v>
      </c>
      <c r="AB151" s="90">
        <v>31609</v>
      </c>
      <c r="AC151" s="376">
        <f t="shared" si="106"/>
        <v>2.1688538367056642E-2</v>
      </c>
      <c r="AD151" s="90">
        <v>47349</v>
      </c>
      <c r="AE151" s="307">
        <f t="shared" si="90"/>
        <v>0.29669998630699723</v>
      </c>
      <c r="AF151" s="90"/>
      <c r="AG151" s="307"/>
      <c r="AH151" s="254">
        <v>11399</v>
      </c>
      <c r="AI151" s="307">
        <f t="shared" si="107"/>
        <v>-0.42767485063011501</v>
      </c>
      <c r="AJ151" s="408"/>
      <c r="AK151" s="410"/>
      <c r="AL151" s="90">
        <v>1706</v>
      </c>
      <c r="AM151" s="251">
        <f t="shared" si="108"/>
        <v>3.5194174757281482E-2</v>
      </c>
      <c r="AN151" s="90"/>
      <c r="AO151" s="250"/>
      <c r="AP151" s="304"/>
      <c r="AQ151" s="89"/>
      <c r="AR151" s="306">
        <v>12</v>
      </c>
      <c r="AS151" s="402" t="str">
        <f t="shared" si="63"/>
        <v>-</v>
      </c>
      <c r="AT151" s="90"/>
      <c r="AU151" s="307"/>
      <c r="AV151" s="100"/>
      <c r="AW151" s="317"/>
      <c r="AX151" s="302"/>
      <c r="AY151" s="303"/>
      <c r="AZ151" s="90"/>
      <c r="BA151" s="250"/>
      <c r="BB151" s="90"/>
      <c r="BC151" s="250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</row>
    <row r="152" spans="1:68" s="337" customFormat="1">
      <c r="A152" s="461"/>
      <c r="B152" s="102" t="s">
        <v>224</v>
      </c>
      <c r="C152" s="336">
        <v>1569162</v>
      </c>
      <c r="D152" s="250">
        <f t="shared" si="97"/>
        <v>0.1076309943720648</v>
      </c>
      <c r="E152" s="295"/>
      <c r="F152" s="289">
        <v>374100</v>
      </c>
      <c r="G152" s="250">
        <f t="shared" si="99"/>
        <v>0.39508345888214325</v>
      </c>
      <c r="H152" s="254"/>
      <c r="I152" s="250"/>
      <c r="J152" s="254">
        <v>56442</v>
      </c>
      <c r="K152" s="250">
        <f t="shared" si="100"/>
        <v>0.13490036796493277</v>
      </c>
      <c r="L152" s="256">
        <v>97043</v>
      </c>
      <c r="M152" s="250">
        <f t="shared" si="98"/>
        <v>-1.8865826163443122E-2</v>
      </c>
      <c r="N152" s="254">
        <v>103289</v>
      </c>
      <c r="O152" s="250">
        <f t="shared" si="101"/>
        <v>3.045811883953875E-2</v>
      </c>
      <c r="P152" s="254">
        <v>116593</v>
      </c>
      <c r="Q152" s="250">
        <f t="shared" si="102"/>
        <v>0.28400731245319588</v>
      </c>
      <c r="R152" s="256">
        <v>41675</v>
      </c>
      <c r="S152" s="250">
        <f t="shared" si="103"/>
        <v>-4.4436291931304939E-2</v>
      </c>
      <c r="T152" s="254">
        <v>40959</v>
      </c>
      <c r="U152" s="250">
        <f t="shared" si="104"/>
        <v>-4.4621197984698657E-2</v>
      </c>
      <c r="V152" s="254">
        <v>1194</v>
      </c>
      <c r="W152" s="250">
        <f t="shared" si="105"/>
        <v>0.10555555555555562</v>
      </c>
      <c r="X152" s="254">
        <v>98781</v>
      </c>
      <c r="Y152" s="250">
        <f t="shared" si="74"/>
        <v>6.1031804852898608E-2</v>
      </c>
      <c r="Z152" s="256">
        <v>27839</v>
      </c>
      <c r="AA152" s="257">
        <f t="shared" si="79"/>
        <v>-0.25208210198269843</v>
      </c>
      <c r="AB152" s="254">
        <v>26103</v>
      </c>
      <c r="AC152" s="376">
        <f t="shared" si="106"/>
        <v>-8.6189392613338023E-2</v>
      </c>
      <c r="AD152" s="254">
        <v>30563</v>
      </c>
      <c r="AE152" s="250">
        <f t="shared" si="90"/>
        <v>4.0761424776952992E-2</v>
      </c>
      <c r="AF152" s="254"/>
      <c r="AG152" s="250"/>
      <c r="AH152" s="254">
        <v>8830</v>
      </c>
      <c r="AI152" s="325">
        <f t="shared" si="107"/>
        <v>-0.37663254500529475</v>
      </c>
      <c r="AJ152" s="408"/>
      <c r="AK152" s="410"/>
      <c r="AL152" s="254">
        <v>1981</v>
      </c>
      <c r="AM152" s="257">
        <f t="shared" si="108"/>
        <v>-0.3778266331658291</v>
      </c>
      <c r="AN152" s="254"/>
      <c r="AO152" s="250"/>
      <c r="AP152" s="319"/>
      <c r="AQ152" s="89"/>
      <c r="AR152" s="289">
        <v>0</v>
      </c>
      <c r="AS152" s="402" t="str">
        <f t="shared" si="63"/>
        <v>-</v>
      </c>
      <c r="AT152" s="254"/>
      <c r="AU152" s="250"/>
      <c r="AV152" s="143"/>
      <c r="AW152" s="250"/>
      <c r="AX152" s="321"/>
      <c r="AY152" s="318"/>
      <c r="AZ152" s="254"/>
      <c r="BA152" s="250"/>
      <c r="BB152" s="254"/>
      <c r="BC152" s="250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</row>
    <row r="153" spans="1:68" s="337" customFormat="1">
      <c r="A153" s="461"/>
      <c r="B153" s="102" t="s">
        <v>225</v>
      </c>
      <c r="C153" s="336">
        <v>1636597</v>
      </c>
      <c r="D153" s="250">
        <f t="shared" si="97"/>
        <v>9.4376980995813931E-2</v>
      </c>
      <c r="E153" s="295"/>
      <c r="F153" s="289">
        <v>353700</v>
      </c>
      <c r="G153" s="250">
        <f t="shared" si="99"/>
        <v>0.16112258263601409</v>
      </c>
      <c r="H153" s="254"/>
      <c r="I153" s="250"/>
      <c r="J153" s="254">
        <v>62668</v>
      </c>
      <c r="K153" s="250">
        <f t="shared" si="100"/>
        <v>0.2577369244972505</v>
      </c>
      <c r="L153" s="256">
        <v>103295</v>
      </c>
      <c r="M153" s="250">
        <f t="shared" si="98"/>
        <v>5.7451142982914094E-2</v>
      </c>
      <c r="N153" s="254">
        <v>95785</v>
      </c>
      <c r="O153" s="250">
        <f t="shared" si="101"/>
        <v>0.10981728017426162</v>
      </c>
      <c r="P153" s="254">
        <v>111154</v>
      </c>
      <c r="Q153" s="250">
        <f t="shared" si="102"/>
        <v>0.30314079041466879</v>
      </c>
      <c r="R153" s="256">
        <v>43661</v>
      </c>
      <c r="S153" s="250">
        <f t="shared" si="103"/>
        <v>5.9347325003032969E-2</v>
      </c>
      <c r="T153" s="254">
        <v>41356</v>
      </c>
      <c r="U153" s="250">
        <f t="shared" si="104"/>
        <v>-5.9131772510937486E-3</v>
      </c>
      <c r="V153" s="254">
        <v>749</v>
      </c>
      <c r="W153" s="250">
        <f t="shared" si="105"/>
        <v>1.904761904761898E-2</v>
      </c>
      <c r="X153" s="254">
        <v>98052</v>
      </c>
      <c r="Y153" s="250">
        <f t="shared" si="74"/>
        <v>8.3866688774664189E-2</v>
      </c>
      <c r="Z153" s="256">
        <v>22386</v>
      </c>
      <c r="AA153" s="257">
        <f t="shared" si="79"/>
        <v>-0.19318099906292796</v>
      </c>
      <c r="AB153" s="254">
        <v>27989</v>
      </c>
      <c r="AC153" s="376">
        <f t="shared" si="106"/>
        <v>-2.6367968831530253E-2</v>
      </c>
      <c r="AD153" s="254">
        <v>31218</v>
      </c>
      <c r="AE153" s="250">
        <f t="shared" si="90"/>
        <v>8.4975497862579408E-2</v>
      </c>
      <c r="AF153" s="254"/>
      <c r="AG153" s="250"/>
      <c r="AH153" s="254">
        <v>8438</v>
      </c>
      <c r="AI153" s="343">
        <f t="shared" si="107"/>
        <v>-0.58539701257861632</v>
      </c>
      <c r="AJ153" s="408">
        <f>16446-AJ150</f>
        <v>11093</v>
      </c>
      <c r="AK153" s="410">
        <f>(AJ153/AJ141-1)</f>
        <v>0.14301906233900041</v>
      </c>
      <c r="AL153" s="254">
        <v>2169</v>
      </c>
      <c r="AM153" s="257">
        <f t="shared" si="108"/>
        <v>-0.15438596491228074</v>
      </c>
      <c r="AN153" s="254"/>
      <c r="AO153" s="250"/>
      <c r="AP153" s="339"/>
      <c r="AQ153" s="89"/>
      <c r="AR153" s="289">
        <v>40</v>
      </c>
      <c r="AS153" s="402">
        <f t="shared" si="63"/>
        <v>5.2631578947368363E-2</v>
      </c>
      <c r="AT153" s="254"/>
      <c r="AU153" s="250"/>
      <c r="AV153" s="143"/>
      <c r="AW153" s="250"/>
      <c r="AX153" s="340"/>
      <c r="AY153" s="338"/>
      <c r="AZ153" s="254"/>
      <c r="BA153" s="250"/>
      <c r="BB153" s="254"/>
      <c r="BC153" s="250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</row>
    <row r="154" spans="1:68" s="337" customFormat="1">
      <c r="A154" s="461"/>
      <c r="B154" s="294" t="s">
        <v>226</v>
      </c>
      <c r="C154" s="336">
        <v>1656728</v>
      </c>
      <c r="D154" s="250">
        <f t="shared" si="97"/>
        <v>4.9050032768408025E-2</v>
      </c>
      <c r="E154" s="295"/>
      <c r="F154" s="289">
        <v>302100</v>
      </c>
      <c r="G154" s="250">
        <f t="shared" si="99"/>
        <v>-4.2135267875544224E-2</v>
      </c>
      <c r="H154" s="254"/>
      <c r="I154" s="250"/>
      <c r="J154" s="254">
        <v>64106</v>
      </c>
      <c r="K154" s="250">
        <f t="shared" si="100"/>
        <v>0.17446824102742609</v>
      </c>
      <c r="L154" s="256">
        <v>106857</v>
      </c>
      <c r="M154" s="250">
        <f t="shared" si="98"/>
        <v>-8.3425542317490553E-2</v>
      </c>
      <c r="N154" s="254">
        <v>96261</v>
      </c>
      <c r="O154" s="250">
        <f t="shared" si="101"/>
        <v>7.4533398821218011E-2</v>
      </c>
      <c r="P154" s="254">
        <v>111952</v>
      </c>
      <c r="Q154" s="250">
        <f t="shared" si="102"/>
        <v>0.37268413502213171</v>
      </c>
      <c r="R154" s="256">
        <v>48109</v>
      </c>
      <c r="S154" s="250">
        <f t="shared" si="103"/>
        <v>-8.0098665340930797E-2</v>
      </c>
      <c r="T154" s="254">
        <v>44932</v>
      </c>
      <c r="U154" s="250">
        <f t="shared" si="104"/>
        <v>2.3904473258437253E-2</v>
      </c>
      <c r="V154" s="254">
        <v>914</v>
      </c>
      <c r="W154" s="250">
        <f t="shared" si="105"/>
        <v>8.8095238095238004E-2</v>
      </c>
      <c r="X154" s="254">
        <v>94736</v>
      </c>
      <c r="Y154" s="250">
        <f t="shared" si="74"/>
        <v>6.9085730076738905E-3</v>
      </c>
      <c r="Z154" s="256">
        <v>17508</v>
      </c>
      <c r="AA154" s="257">
        <f t="shared" si="79"/>
        <v>-0.23828583859038499</v>
      </c>
      <c r="AB154" s="254">
        <v>26859</v>
      </c>
      <c r="AC154" s="376">
        <f t="shared" si="106"/>
        <v>2.5152671755725109E-2</v>
      </c>
      <c r="AD154" s="254">
        <v>29293</v>
      </c>
      <c r="AE154" s="250">
        <f t="shared" si="90"/>
        <v>5.3885227896759424E-3</v>
      </c>
      <c r="AF154" s="254"/>
      <c r="AG154" s="250"/>
      <c r="AH154" s="254">
        <v>9516</v>
      </c>
      <c r="AI154" s="352">
        <f t="shared" si="107"/>
        <v>-0.56776889534883723</v>
      </c>
      <c r="AJ154" s="408"/>
      <c r="AK154" s="410"/>
      <c r="AL154" s="254">
        <v>2995</v>
      </c>
      <c r="AM154" s="257">
        <f t="shared" si="108"/>
        <v>-0.14060258249641322</v>
      </c>
      <c r="AN154" s="254"/>
      <c r="AO154" s="250"/>
      <c r="AP154" s="346"/>
      <c r="AQ154" s="89"/>
      <c r="AR154" s="289">
        <v>0</v>
      </c>
      <c r="AS154" s="402" t="str">
        <f t="shared" si="63"/>
        <v>-</v>
      </c>
      <c r="AT154" s="254"/>
      <c r="AU154" s="250"/>
      <c r="AV154" s="143"/>
      <c r="AW154" s="250"/>
      <c r="AX154" s="345"/>
      <c r="AY154" s="347"/>
      <c r="AZ154" s="254"/>
      <c r="BA154" s="250"/>
      <c r="BB154" s="254"/>
      <c r="BC154" s="250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</row>
    <row r="155" spans="1:68" s="337" customFormat="1">
      <c r="A155" s="461"/>
      <c r="B155" s="294" t="s">
        <v>24</v>
      </c>
      <c r="C155" s="336">
        <v>1778317</v>
      </c>
      <c r="D155" s="250">
        <f t="shared" ref="D155:D161" si="109">C155/C143-1</f>
        <v>0.29468581800020521</v>
      </c>
      <c r="E155" s="295"/>
      <c r="F155" s="289">
        <v>347400</v>
      </c>
      <c r="G155" s="250">
        <f t="shared" si="99"/>
        <v>0.38129015840702341</v>
      </c>
      <c r="H155" s="254"/>
      <c r="I155" s="250"/>
      <c r="J155" s="254">
        <v>61599</v>
      </c>
      <c r="K155" s="250">
        <f t="shared" si="100"/>
        <v>0.67862982341399603</v>
      </c>
      <c r="L155" s="256">
        <v>105083</v>
      </c>
      <c r="M155" s="250">
        <f t="shared" ref="M155:M161" si="110">L155/L143-1</f>
        <v>0.52349401957230879</v>
      </c>
      <c r="N155" s="254">
        <v>107506</v>
      </c>
      <c r="O155" s="250">
        <f t="shared" si="101"/>
        <v>0.17139557182705722</v>
      </c>
      <c r="P155" s="254">
        <v>109806</v>
      </c>
      <c r="Q155" s="250">
        <f t="shared" si="102"/>
        <v>0.50569747830021794</v>
      </c>
      <c r="R155" s="256">
        <v>46957</v>
      </c>
      <c r="S155" s="250">
        <f t="shared" si="103"/>
        <v>0.49516016047888933</v>
      </c>
      <c r="T155" s="254">
        <v>43766</v>
      </c>
      <c r="U155" s="250">
        <f t="shared" si="104"/>
        <v>0.1767268034307532</v>
      </c>
      <c r="V155" s="254">
        <v>909</v>
      </c>
      <c r="W155" s="250">
        <f t="shared" si="105"/>
        <v>-3.4006376195536703E-2</v>
      </c>
      <c r="X155" s="254">
        <v>109786</v>
      </c>
      <c r="Y155" s="250">
        <f t="shared" si="74"/>
        <v>0.13235142438682268</v>
      </c>
      <c r="Z155" s="256">
        <v>21556</v>
      </c>
      <c r="AA155" s="257">
        <f t="shared" si="79"/>
        <v>0.24730933919685216</v>
      </c>
      <c r="AB155" s="254">
        <v>26084</v>
      </c>
      <c r="AC155" s="376">
        <f t="shared" si="106"/>
        <v>-4.1874816338524856E-2</v>
      </c>
      <c r="AD155" s="254">
        <v>27667</v>
      </c>
      <c r="AE155" s="250">
        <f t="shared" si="90"/>
        <v>6.7152665278099155E-2</v>
      </c>
      <c r="AF155" s="254"/>
      <c r="AG155" s="250"/>
      <c r="AH155" s="254">
        <v>10441</v>
      </c>
      <c r="AI155" s="360">
        <f t="shared" si="107"/>
        <v>-0.43525530073561225</v>
      </c>
      <c r="AJ155" s="408"/>
      <c r="AK155" s="410"/>
      <c r="AL155" s="254">
        <v>2309</v>
      </c>
      <c r="AM155" s="257">
        <f t="shared" si="108"/>
        <v>-0.15544989027066569</v>
      </c>
      <c r="AN155" s="254"/>
      <c r="AO155" s="250"/>
      <c r="AP155" s="354"/>
      <c r="AQ155" s="89"/>
      <c r="AR155" s="289">
        <v>0</v>
      </c>
      <c r="AS155" s="402" t="str">
        <f t="shared" si="63"/>
        <v>-</v>
      </c>
      <c r="AT155" s="254"/>
      <c r="AU155" s="250"/>
      <c r="AV155" s="143"/>
      <c r="AW155" s="250"/>
      <c r="AX155" s="353"/>
      <c r="AY155" s="355"/>
      <c r="AZ155" s="254"/>
      <c r="BA155" s="250"/>
      <c r="BB155" s="254"/>
      <c r="BC155" s="250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</row>
    <row r="156" spans="1:68" s="337" customFormat="1">
      <c r="A156" s="461"/>
      <c r="B156" s="294" t="s">
        <v>25</v>
      </c>
      <c r="C156" s="336">
        <v>2086068</v>
      </c>
      <c r="D156" s="250">
        <f t="shared" si="109"/>
        <v>0.24516692810738405</v>
      </c>
      <c r="E156" s="295"/>
      <c r="F156" s="289">
        <v>447088</v>
      </c>
      <c r="G156" s="250">
        <f t="shared" ref="G156:G161" si="111">F156/F144-1</f>
        <v>0.30043426537017259</v>
      </c>
      <c r="H156" s="254"/>
      <c r="I156" s="250"/>
      <c r="J156" s="254">
        <v>69274</v>
      </c>
      <c r="K156" s="250">
        <f t="shared" ref="K156:K161" si="112">J156/J144-1</f>
        <v>0.52757502921784383</v>
      </c>
      <c r="L156" s="256">
        <v>109094</v>
      </c>
      <c r="M156" s="250">
        <f t="shared" si="110"/>
        <v>0.32443850916595851</v>
      </c>
      <c r="N156" s="254">
        <v>134310</v>
      </c>
      <c r="O156" s="250">
        <f t="shared" ref="O156:O161" si="113">N156/N144-1</f>
        <v>0.10544119704688937</v>
      </c>
      <c r="P156" s="254">
        <v>116960</v>
      </c>
      <c r="Q156" s="250">
        <f>P156/P144-1</f>
        <v>0.59982491656179904</v>
      </c>
      <c r="R156" s="256">
        <v>51992</v>
      </c>
      <c r="S156" s="250">
        <f t="shared" ref="S156:S161" si="114">R156/R144-1</f>
        <v>0.40329284750337391</v>
      </c>
      <c r="T156" s="254">
        <v>54700</v>
      </c>
      <c r="U156" s="250">
        <f t="shared" si="104"/>
        <v>0.13074935400516785</v>
      </c>
      <c r="V156" s="254">
        <v>1231</v>
      </c>
      <c r="W156" s="250">
        <f t="shared" ref="W156:W161" si="115">V156/V144-1</f>
        <v>-0.14927436074637179</v>
      </c>
      <c r="X156" s="254">
        <v>142793</v>
      </c>
      <c r="Y156" s="250">
        <f t="shared" si="74"/>
        <v>0.19700399020889914</v>
      </c>
      <c r="Z156" s="256">
        <v>25272</v>
      </c>
      <c r="AA156" s="257">
        <f t="shared" si="79"/>
        <v>4.7370384185005499E-2</v>
      </c>
      <c r="AB156" s="254">
        <v>31502</v>
      </c>
      <c r="AC156" s="376">
        <f t="shared" si="106"/>
        <v>0.10212363992583007</v>
      </c>
      <c r="AD156" s="254">
        <v>34429</v>
      </c>
      <c r="AE156" s="250">
        <f t="shared" si="90"/>
        <v>-7.694576262098185E-2</v>
      </c>
      <c r="AF156" s="254"/>
      <c r="AG156" s="250"/>
      <c r="AH156" s="254">
        <v>9627</v>
      </c>
      <c r="AI156" s="378">
        <f t="shared" si="107"/>
        <v>-0.57268409605397486</v>
      </c>
      <c r="AJ156" s="408">
        <f>50436-AJ153-AJ150</f>
        <v>33990</v>
      </c>
      <c r="AK156" s="410">
        <f>(AJ156/AJ144-1)</f>
        <v>0.30539980029188118</v>
      </c>
      <c r="AL156" s="254">
        <v>2063</v>
      </c>
      <c r="AM156" s="257">
        <f>AL156/AL144-1</f>
        <v>-1.0076775431861806E-2</v>
      </c>
      <c r="AN156" s="254"/>
      <c r="AO156" s="250"/>
      <c r="AP156" s="363"/>
      <c r="AQ156" s="89"/>
      <c r="AR156" s="289">
        <v>23</v>
      </c>
      <c r="AS156" s="402" t="str">
        <f t="shared" si="63"/>
        <v>-</v>
      </c>
      <c r="AT156" s="254"/>
      <c r="AU156" s="250"/>
      <c r="AV156" s="143"/>
      <c r="AW156" s="250"/>
      <c r="AX156" s="362"/>
      <c r="AY156" s="364"/>
      <c r="AZ156" s="254"/>
      <c r="BA156" s="250"/>
      <c r="BB156" s="254"/>
      <c r="BC156" s="250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</row>
    <row r="157" spans="1:68" s="337" customFormat="1">
      <c r="A157" s="461"/>
      <c r="B157" s="294" t="s">
        <v>227</v>
      </c>
      <c r="C157" s="336">
        <v>2064241</v>
      </c>
      <c r="D157" s="250">
        <f t="shared" si="109"/>
        <v>0.1247743494207052</v>
      </c>
      <c r="E157" s="295"/>
      <c r="F157" s="289">
        <v>458927</v>
      </c>
      <c r="G157" s="250">
        <f t="shared" si="111"/>
        <v>0.17381340304012327</v>
      </c>
      <c r="H157" s="254"/>
      <c r="I157" s="250"/>
      <c r="J157" s="254">
        <v>78023</v>
      </c>
      <c r="K157" s="250">
        <f t="shared" si="112"/>
        <v>0.43635861561119293</v>
      </c>
      <c r="L157" s="256">
        <v>114727</v>
      </c>
      <c r="M157" s="250">
        <f t="shared" si="110"/>
        <v>0.18778535858120482</v>
      </c>
      <c r="N157" s="254">
        <v>140804</v>
      </c>
      <c r="O157" s="250">
        <f t="shared" si="113"/>
        <v>2.4744548921428855E-2</v>
      </c>
      <c r="P157" s="254">
        <v>147028</v>
      </c>
      <c r="Q157" s="250">
        <f>P157/P145-1</f>
        <v>0.41174889097997047</v>
      </c>
      <c r="R157" s="256">
        <v>57730</v>
      </c>
      <c r="S157" s="250">
        <f t="shared" si="114"/>
        <v>0.32075040036604885</v>
      </c>
      <c r="T157" s="254">
        <v>62018</v>
      </c>
      <c r="U157" s="250">
        <f t="shared" si="104"/>
        <v>2.5633392868955385E-2</v>
      </c>
      <c r="V157" s="254">
        <v>1296</v>
      </c>
      <c r="W157" s="250">
        <f t="shared" si="115"/>
        <v>1.8867924528301883E-2</v>
      </c>
      <c r="X157" s="254">
        <v>147588</v>
      </c>
      <c r="Y157" s="250">
        <f t="shared" si="74"/>
        <v>5.8190891361707076E-2</v>
      </c>
      <c r="Z157" s="256">
        <v>25410</v>
      </c>
      <c r="AA157" s="257">
        <f t="shared" si="79"/>
        <v>-2.1827000808407382E-2</v>
      </c>
      <c r="AB157" s="254">
        <v>30940</v>
      </c>
      <c r="AC157" s="392">
        <f t="shared" si="106"/>
        <v>6.5060240963855431E-2</v>
      </c>
      <c r="AD157" s="254">
        <v>42117</v>
      </c>
      <c r="AE157" s="250">
        <f t="shared" si="90"/>
        <v>-9.2914941663529982E-3</v>
      </c>
      <c r="AF157" s="254"/>
      <c r="AG157" s="250"/>
      <c r="AH157" s="254">
        <v>6590</v>
      </c>
      <c r="AI157" s="378">
        <f t="shared" si="107"/>
        <v>-0.66531234128999495</v>
      </c>
      <c r="AJ157" s="408"/>
      <c r="AK157" s="410"/>
      <c r="AL157" s="254">
        <v>1852</v>
      </c>
      <c r="AM157" s="257">
        <f>AL157/AL145-1</f>
        <v>-0.10832932113625426</v>
      </c>
      <c r="AN157" s="254"/>
      <c r="AO157" s="250"/>
      <c r="AP157" s="374"/>
      <c r="AQ157" s="89"/>
      <c r="AR157" s="289">
        <v>24</v>
      </c>
      <c r="AS157" s="402" t="str">
        <f t="shared" si="63"/>
        <v>-</v>
      </c>
      <c r="AT157" s="254"/>
      <c r="AU157" s="250"/>
      <c r="AV157" s="143"/>
      <c r="AW157" s="250"/>
      <c r="AX157" s="375"/>
      <c r="AY157" s="373"/>
      <c r="AZ157" s="254"/>
      <c r="BA157" s="250"/>
      <c r="BB157" s="254"/>
      <c r="BC157" s="250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</row>
    <row r="158" spans="1:68" s="337" customFormat="1">
      <c r="A158" s="461"/>
      <c r="B158" s="294" t="s">
        <v>27</v>
      </c>
      <c r="C158" s="336">
        <v>1904524</v>
      </c>
      <c r="D158" s="250">
        <f t="shared" si="109"/>
        <v>0.25989162885495842</v>
      </c>
      <c r="E158" s="295"/>
      <c r="F158" s="289">
        <v>430600</v>
      </c>
      <c r="G158" s="250">
        <f t="shared" si="111"/>
        <v>0.42750584296109673</v>
      </c>
      <c r="H158" s="254"/>
      <c r="I158" s="250"/>
      <c r="J158" s="254">
        <v>72200</v>
      </c>
      <c r="K158" s="250">
        <f t="shared" si="112"/>
        <v>0.54372460979260206</v>
      </c>
      <c r="L158" s="256">
        <v>113351</v>
      </c>
      <c r="M158" s="250">
        <f t="shared" si="110"/>
        <v>0.31775907368225265</v>
      </c>
      <c r="N158" s="254">
        <v>107890</v>
      </c>
      <c r="O158" s="250">
        <f t="shared" si="113"/>
        <v>0.14473363112605964</v>
      </c>
      <c r="P158" s="254">
        <v>128911</v>
      </c>
      <c r="Q158" s="250">
        <f>P158/P146-1</f>
        <v>0.60738911956508179</v>
      </c>
      <c r="R158" s="256">
        <v>55075</v>
      </c>
      <c r="S158" s="250">
        <f t="shared" si="114"/>
        <v>0.52044281257764413</v>
      </c>
      <c r="T158" s="254">
        <v>37742</v>
      </c>
      <c r="U158" s="250">
        <f t="shared" si="104"/>
        <v>-3.3817167140260618E-2</v>
      </c>
      <c r="V158" s="254">
        <v>1001</v>
      </c>
      <c r="W158" s="250">
        <f t="shared" si="115"/>
        <v>9.9999999999988987E-4</v>
      </c>
      <c r="X158" s="254">
        <v>115147</v>
      </c>
      <c r="Y158" s="250">
        <f t="shared" si="74"/>
        <v>0.20716876690499664</v>
      </c>
      <c r="Z158" s="256">
        <v>20202</v>
      </c>
      <c r="AA158" s="257">
        <f t="shared" si="79"/>
        <v>8.1709145427286467E-2</v>
      </c>
      <c r="AB158" s="254">
        <v>26543</v>
      </c>
      <c r="AC158" s="392">
        <f t="shared" si="106"/>
        <v>4.5329237555135515E-2</v>
      </c>
      <c r="AD158" s="254">
        <v>29565</v>
      </c>
      <c r="AE158" s="250">
        <f t="shared" si="90"/>
        <v>9.4432516472940042E-2</v>
      </c>
      <c r="AF158" s="254"/>
      <c r="AG158" s="250"/>
      <c r="AH158" s="254">
        <v>7334</v>
      </c>
      <c r="AI158" s="392">
        <f t="shared" si="107"/>
        <v>-0.56287996185480993</v>
      </c>
      <c r="AJ158" s="408"/>
      <c r="AK158" s="410"/>
      <c r="AL158" s="254">
        <v>2339</v>
      </c>
      <c r="AM158" s="257">
        <f t="shared" ref="AM158:AM161" si="116">AL158/AL146-1</f>
        <v>0.10958254269449719</v>
      </c>
      <c r="AN158" s="254"/>
      <c r="AO158" s="250"/>
      <c r="AP158" s="381"/>
      <c r="AQ158" s="89"/>
      <c r="AR158" s="289">
        <v>22</v>
      </c>
      <c r="AS158" s="402" t="str">
        <f t="shared" si="63"/>
        <v>-</v>
      </c>
      <c r="AT158" s="254"/>
      <c r="AU158" s="250"/>
      <c r="AV158" s="143"/>
      <c r="AW158" s="250"/>
      <c r="AX158" s="382"/>
      <c r="AY158" s="380"/>
      <c r="AZ158" s="254"/>
      <c r="BA158" s="250"/>
      <c r="BB158" s="254"/>
      <c r="BC158" s="250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</row>
    <row r="159" spans="1:68" s="337" customFormat="1">
      <c r="A159" s="461"/>
      <c r="B159" s="294" t="s">
        <v>28</v>
      </c>
      <c r="C159" s="336">
        <v>1865552</v>
      </c>
      <c r="D159" s="250">
        <f t="shared" si="109"/>
        <v>7.5055263964667995E-2</v>
      </c>
      <c r="E159" s="295"/>
      <c r="F159" s="289">
        <v>449600</v>
      </c>
      <c r="G159" s="250">
        <f t="shared" si="111"/>
        <v>0.21251348435814466</v>
      </c>
      <c r="H159" s="254"/>
      <c r="I159" s="250"/>
      <c r="J159" s="254">
        <v>73819</v>
      </c>
      <c r="K159" s="250">
        <f t="shared" si="112"/>
        <v>0.23311171989843649</v>
      </c>
      <c r="L159" s="256">
        <v>111226</v>
      </c>
      <c r="M159" s="250">
        <f t="shared" si="110"/>
        <v>9.2314340148881513E-2</v>
      </c>
      <c r="N159" s="254">
        <v>99409</v>
      </c>
      <c r="O159" s="250">
        <f t="shared" si="113"/>
        <v>-8.7346106882843833E-2</v>
      </c>
      <c r="P159" s="254">
        <v>123052</v>
      </c>
      <c r="Q159" s="250">
        <f t="shared" ref="Q159:Q161" si="117">P159/P147-1</f>
        <v>0.41805819648516285</v>
      </c>
      <c r="R159" s="256">
        <v>52104</v>
      </c>
      <c r="S159" s="250">
        <f t="shared" si="114"/>
        <v>0.22106348573972956</v>
      </c>
      <c r="T159" s="254">
        <v>34323</v>
      </c>
      <c r="U159" s="250">
        <f t="shared" si="104"/>
        <v>-0.32143845636787793</v>
      </c>
      <c r="V159" s="254">
        <v>1173</v>
      </c>
      <c r="W159" s="250">
        <f t="shared" si="115"/>
        <v>6.0578661844484571E-2</v>
      </c>
      <c r="X159" s="254">
        <v>112508</v>
      </c>
      <c r="Y159" s="250">
        <f t="shared" si="74"/>
        <v>0.10240355879557494</v>
      </c>
      <c r="Z159" s="256">
        <v>24164</v>
      </c>
      <c r="AA159" s="257">
        <f t="shared" si="79"/>
        <v>-0.11125822943101993</v>
      </c>
      <c r="AB159" s="254"/>
      <c r="AC159" s="250"/>
      <c r="AD159" s="254">
        <v>34025</v>
      </c>
      <c r="AE159" s="250">
        <f t="shared" si="90"/>
        <v>5.7005281143212239E-2</v>
      </c>
      <c r="AF159" s="254"/>
      <c r="AG159" s="250"/>
      <c r="AH159" s="254">
        <v>6746</v>
      </c>
      <c r="AI159" s="394">
        <f t="shared" si="107"/>
        <v>-0.63192928852029684</v>
      </c>
      <c r="AJ159" s="408">
        <v>7151</v>
      </c>
      <c r="AK159" s="410">
        <f>(AJ159/AJ147-1)</f>
        <v>0.19722082705508126</v>
      </c>
      <c r="AL159" s="254">
        <v>3937</v>
      </c>
      <c r="AM159" s="257">
        <f t="shared" si="116"/>
        <v>6.2904967602591899E-2</v>
      </c>
      <c r="AN159" s="254"/>
      <c r="AO159" s="250"/>
      <c r="AP159" s="381"/>
      <c r="AQ159" s="89"/>
      <c r="AR159" s="289">
        <v>13</v>
      </c>
      <c r="AS159" s="402" t="str">
        <f t="shared" ref="AS159:AS161" si="118">IFERROR(AR159/AR147-1,"-")</f>
        <v>-</v>
      </c>
      <c r="AT159" s="254"/>
      <c r="AU159" s="250"/>
      <c r="AV159" s="143"/>
      <c r="AW159" s="250"/>
      <c r="AX159" s="382"/>
      <c r="AY159" s="380"/>
      <c r="AZ159" s="254"/>
      <c r="BA159" s="250"/>
      <c r="BB159" s="254"/>
      <c r="BC159" s="250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</row>
    <row r="160" spans="1:68" s="337" customFormat="1">
      <c r="A160" s="461"/>
      <c r="B160" s="294" t="s">
        <v>29</v>
      </c>
      <c r="C160" s="336">
        <v>1825701</v>
      </c>
      <c r="D160" s="250">
        <f t="shared" si="109"/>
        <v>0.12277384086594423</v>
      </c>
      <c r="E160" s="295"/>
      <c r="F160" s="289">
        <v>426900</v>
      </c>
      <c r="G160" s="250">
        <f t="shared" si="111"/>
        <v>0.18649249583101724</v>
      </c>
      <c r="H160" s="254"/>
      <c r="I160" s="250"/>
      <c r="J160" s="254">
        <v>82274</v>
      </c>
      <c r="K160" s="250">
        <f t="shared" si="112"/>
        <v>0.39051514332071391</v>
      </c>
      <c r="L160" s="256">
        <v>123855</v>
      </c>
      <c r="M160" s="250">
        <f t="shared" si="110"/>
        <v>0.13837316176470593</v>
      </c>
      <c r="N160" s="254">
        <v>114745</v>
      </c>
      <c r="O160" s="250">
        <f t="shared" si="113"/>
        <v>-6.9406259377306267E-2</v>
      </c>
      <c r="P160" s="254">
        <v>132698</v>
      </c>
      <c r="Q160" s="250">
        <f t="shared" si="117"/>
        <v>0.31668353475819089</v>
      </c>
      <c r="R160" s="256">
        <v>62009</v>
      </c>
      <c r="S160" s="250">
        <f t="shared" si="114"/>
        <v>0.34594430335786064</v>
      </c>
      <c r="T160" s="254">
        <v>36306</v>
      </c>
      <c r="U160" s="250">
        <f t="shared" si="104"/>
        <v>-0.19298479594558549</v>
      </c>
      <c r="V160" s="254">
        <v>1386</v>
      </c>
      <c r="W160" s="250">
        <f t="shared" si="115"/>
        <v>-0.10116731517509725</v>
      </c>
      <c r="X160" s="254"/>
      <c r="Y160" s="250"/>
      <c r="Z160" s="256">
        <v>27507</v>
      </c>
      <c r="AA160" s="257">
        <f t="shared" si="79"/>
        <v>-3.9056768558952015E-2</v>
      </c>
      <c r="AB160" s="254"/>
      <c r="AC160" s="250"/>
      <c r="AD160" s="254"/>
      <c r="AE160" s="250"/>
      <c r="AF160" s="254"/>
      <c r="AG160" s="250"/>
      <c r="AH160" s="254">
        <v>6325</v>
      </c>
      <c r="AI160" s="384">
        <f t="shared" si="107"/>
        <v>-0.53475542478852511</v>
      </c>
      <c r="AJ160" s="408"/>
      <c r="AK160" s="410"/>
      <c r="AL160" s="254">
        <v>3527</v>
      </c>
      <c r="AM160" s="257">
        <f t="shared" si="116"/>
        <v>-0.21986286219862861</v>
      </c>
      <c r="AN160" s="254"/>
      <c r="AO160" s="250"/>
      <c r="AP160" s="381"/>
      <c r="AQ160" s="89"/>
      <c r="AR160" s="289">
        <v>0</v>
      </c>
      <c r="AS160" s="402" t="str">
        <f t="shared" si="118"/>
        <v>-</v>
      </c>
      <c r="AT160" s="254"/>
      <c r="AU160" s="250"/>
      <c r="AV160" s="143"/>
      <c r="AW160" s="250"/>
      <c r="AX160" s="382"/>
      <c r="AY160" s="380"/>
      <c r="AZ160" s="254"/>
      <c r="BA160" s="250"/>
      <c r="BB160" s="254"/>
      <c r="BC160" s="250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</row>
    <row r="161" spans="1:68" s="337" customFormat="1" ht="14.25" thickBot="1">
      <c r="A161" s="461"/>
      <c r="B161" s="294" t="s">
        <v>30</v>
      </c>
      <c r="C161" s="336">
        <v>2007035</v>
      </c>
      <c r="D161" s="250">
        <f t="shared" si="109"/>
        <v>0.12646242524758455</v>
      </c>
      <c r="E161" s="295"/>
      <c r="F161" s="289">
        <v>494400</v>
      </c>
      <c r="G161" s="250">
        <f t="shared" si="111"/>
        <v>0.18931922059177286</v>
      </c>
      <c r="H161" s="254"/>
      <c r="I161" s="250"/>
      <c r="J161" s="254">
        <v>99578</v>
      </c>
      <c r="K161" s="250">
        <f t="shared" si="112"/>
        <v>0.43164402271583646</v>
      </c>
      <c r="L161" s="256">
        <v>132878</v>
      </c>
      <c r="M161" s="250">
        <f t="shared" si="110"/>
        <v>0.11439306261426729</v>
      </c>
      <c r="N161" s="254">
        <v>141561</v>
      </c>
      <c r="O161" s="250">
        <f t="shared" si="113"/>
        <v>-5.1930482536918565E-2</v>
      </c>
      <c r="P161" s="254">
        <v>154165</v>
      </c>
      <c r="Q161" s="250">
        <f t="shared" si="117"/>
        <v>0.34359121848336693</v>
      </c>
      <c r="R161" s="256">
        <v>70706</v>
      </c>
      <c r="S161" s="250">
        <f t="shared" si="114"/>
        <v>0.28893831121481695</v>
      </c>
      <c r="T161" s="254"/>
      <c r="U161" s="250"/>
      <c r="V161" s="254">
        <v>1240</v>
      </c>
      <c r="W161" s="250">
        <f t="shared" si="115"/>
        <v>-0.11111111111111116</v>
      </c>
      <c r="X161" s="254"/>
      <c r="Y161" s="250"/>
      <c r="Z161" s="256"/>
      <c r="AA161" s="257"/>
      <c r="AB161" s="254"/>
      <c r="AC161" s="250"/>
      <c r="AD161" s="254"/>
      <c r="AE161" s="250"/>
      <c r="AF161" s="254"/>
      <c r="AG161" s="250"/>
      <c r="AH161" s="254">
        <v>7885</v>
      </c>
      <c r="AI161" s="384">
        <f t="shared" si="107"/>
        <v>-0.31613183000867306</v>
      </c>
      <c r="AJ161" s="409"/>
      <c r="AK161" s="410"/>
      <c r="AL161" s="254">
        <v>2806</v>
      </c>
      <c r="AM161" s="257">
        <f t="shared" si="116"/>
        <v>1.7403915881073262E-2</v>
      </c>
      <c r="AN161" s="254"/>
      <c r="AO161" s="250"/>
      <c r="AP161" s="381"/>
      <c r="AQ161" s="89"/>
      <c r="AR161" s="289">
        <v>33</v>
      </c>
      <c r="AS161" s="402" t="str">
        <f t="shared" si="118"/>
        <v>-</v>
      </c>
      <c r="AT161" s="254"/>
      <c r="AU161" s="250"/>
      <c r="AV161" s="143"/>
      <c r="AW161" s="250"/>
      <c r="AX161" s="382"/>
      <c r="AY161" s="380"/>
      <c r="AZ161" s="254"/>
      <c r="BA161" s="250"/>
      <c r="BB161" s="254"/>
      <c r="BC161" s="250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</row>
    <row r="162" spans="1:68" s="157" customFormat="1" ht="16.5" customHeight="1">
      <c r="A162" s="91" t="s">
        <v>157</v>
      </c>
      <c r="B162" s="92" t="s">
        <v>16</v>
      </c>
      <c r="C162" s="94">
        <v>5508242</v>
      </c>
      <c r="D162" s="93">
        <v>0.26900000000000002</v>
      </c>
      <c r="E162" s="178"/>
      <c r="F162" s="94">
        <v>1064390</v>
      </c>
      <c r="G162" s="93">
        <v>0.129</v>
      </c>
      <c r="H162" s="94">
        <v>1344721</v>
      </c>
      <c r="I162" s="95" t="s">
        <v>17</v>
      </c>
      <c r="J162" s="94">
        <v>83729</v>
      </c>
      <c r="K162" s="95" t="s">
        <v>17</v>
      </c>
      <c r="L162" s="96" t="s">
        <v>17</v>
      </c>
      <c r="M162" s="95" t="s">
        <v>17</v>
      </c>
      <c r="N162" s="94">
        <v>448207</v>
      </c>
      <c r="O162" s="95" t="s">
        <v>17</v>
      </c>
      <c r="P162" s="96" t="s">
        <v>17</v>
      </c>
      <c r="Q162" s="95" t="s">
        <v>17</v>
      </c>
      <c r="R162" s="96" t="s">
        <v>17</v>
      </c>
      <c r="S162" s="95" t="s">
        <v>17</v>
      </c>
      <c r="T162" s="96" t="s">
        <v>17</v>
      </c>
      <c r="U162" s="95" t="s">
        <v>17</v>
      </c>
      <c r="V162" s="96" t="s">
        <v>17</v>
      </c>
      <c r="W162" s="95" t="s">
        <v>17</v>
      </c>
      <c r="X162" s="125" t="s">
        <v>158</v>
      </c>
      <c r="Y162" s="95" t="s">
        <v>158</v>
      </c>
      <c r="Z162" s="125" t="s">
        <v>158</v>
      </c>
      <c r="AA162" s="95" t="s">
        <v>158</v>
      </c>
      <c r="AB162" s="96">
        <v>181032</v>
      </c>
      <c r="AC162" s="97" t="s">
        <v>17</v>
      </c>
      <c r="AD162" s="96" t="s">
        <v>17</v>
      </c>
      <c r="AE162" s="95" t="s">
        <v>17</v>
      </c>
      <c r="AF162" s="96" t="s">
        <v>17</v>
      </c>
      <c r="AG162" s="95" t="s">
        <v>17</v>
      </c>
      <c r="AH162" s="94"/>
      <c r="AI162" s="93"/>
      <c r="AJ162" s="96" t="s">
        <v>17</v>
      </c>
      <c r="AK162" s="95" t="s">
        <v>17</v>
      </c>
      <c r="AL162" s="96" t="s">
        <v>17</v>
      </c>
      <c r="AM162" s="243" t="s">
        <v>17</v>
      </c>
      <c r="AN162" s="96" t="s">
        <v>17</v>
      </c>
      <c r="AO162" s="95" t="s">
        <v>17</v>
      </c>
      <c r="AP162" s="96">
        <v>23411</v>
      </c>
      <c r="AQ162" s="95" t="s">
        <v>17</v>
      </c>
      <c r="AR162" s="96">
        <v>171</v>
      </c>
      <c r="AS162" s="95" t="s">
        <v>17</v>
      </c>
      <c r="AT162" s="96" t="s">
        <v>17</v>
      </c>
      <c r="AU162" s="95" t="s">
        <v>17</v>
      </c>
      <c r="AV162" s="96"/>
      <c r="AW162" s="95"/>
      <c r="AX162" s="96" t="s">
        <v>17</v>
      </c>
      <c r="AY162" s="95" t="s">
        <v>17</v>
      </c>
      <c r="AZ162" s="96" t="s">
        <v>17</v>
      </c>
      <c r="BA162" s="95" t="s">
        <v>17</v>
      </c>
      <c r="BB162" s="96" t="s">
        <v>17</v>
      </c>
      <c r="BC162" s="95" t="s">
        <v>17</v>
      </c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</row>
    <row r="163" spans="1:68" s="157" customFormat="1" ht="16.5" customHeight="1">
      <c r="A163" s="14" t="s">
        <v>159</v>
      </c>
      <c r="B163" s="62" t="s">
        <v>16</v>
      </c>
      <c r="C163" s="5">
        <v>6084476</v>
      </c>
      <c r="D163" s="9">
        <f t="shared" ref="D163:D171" si="119">C163/C162-1</f>
        <v>0.10461305077010041</v>
      </c>
      <c r="E163" s="178"/>
      <c r="F163" s="5">
        <v>1133971</v>
      </c>
      <c r="G163" s="9">
        <f t="shared" ref="G163:G174" si="120">F163/F162-1</f>
        <v>6.5371715254746832E-2</v>
      </c>
      <c r="H163" s="5">
        <v>1678836</v>
      </c>
      <c r="I163" s="9">
        <f t="shared" ref="I163:I174" si="121">H163/H162-1</f>
        <v>0.24846417955843636</v>
      </c>
      <c r="J163" s="5">
        <v>85744</v>
      </c>
      <c r="K163" s="9">
        <f t="shared" ref="K163:K174" si="122">J163/J162-1</f>
        <v>2.406573588601324E-2</v>
      </c>
      <c r="L163" s="100" t="s">
        <v>17</v>
      </c>
      <c r="M163" s="99" t="s">
        <v>17</v>
      </c>
      <c r="N163" s="5">
        <v>553441</v>
      </c>
      <c r="O163" s="9">
        <f t="shared" ref="O163:O174" si="123">N163/N162-1</f>
        <v>0.23478883640817738</v>
      </c>
      <c r="P163" s="100" t="s">
        <v>17</v>
      </c>
      <c r="Q163" s="99" t="s">
        <v>17</v>
      </c>
      <c r="R163" s="5">
        <v>48274</v>
      </c>
      <c r="S163" s="9">
        <v>6.4699999999999994E-2</v>
      </c>
      <c r="T163" s="100" t="s">
        <v>17</v>
      </c>
      <c r="U163" s="99" t="s">
        <v>17</v>
      </c>
      <c r="V163" s="100" t="s">
        <v>17</v>
      </c>
      <c r="W163" s="99" t="s">
        <v>17</v>
      </c>
      <c r="X163" s="126" t="s">
        <v>158</v>
      </c>
      <c r="Y163" s="99" t="s">
        <v>158</v>
      </c>
      <c r="Z163" s="126" t="s">
        <v>158</v>
      </c>
      <c r="AA163" s="99" t="s">
        <v>158</v>
      </c>
      <c r="AB163" s="100">
        <v>211220</v>
      </c>
      <c r="AC163" s="99" t="s">
        <v>17</v>
      </c>
      <c r="AD163" s="100" t="s">
        <v>17</v>
      </c>
      <c r="AE163" s="99" t="s">
        <v>17</v>
      </c>
      <c r="AF163" s="100" t="s">
        <v>17</v>
      </c>
      <c r="AG163" s="99" t="s">
        <v>17</v>
      </c>
      <c r="AH163" s="5"/>
      <c r="AI163" s="9"/>
      <c r="AJ163" s="100" t="s">
        <v>17</v>
      </c>
      <c r="AK163" s="99" t="s">
        <v>17</v>
      </c>
      <c r="AL163" s="100" t="s">
        <v>17</v>
      </c>
      <c r="AM163" s="233" t="s">
        <v>17</v>
      </c>
      <c r="AN163" s="100" t="s">
        <v>17</v>
      </c>
      <c r="AO163" s="99" t="s">
        <v>17</v>
      </c>
      <c r="AP163" s="100">
        <v>27150</v>
      </c>
      <c r="AQ163" s="9">
        <f t="shared" ref="AQ163:AQ173" si="124">AP163/AP162-1</f>
        <v>0.15971124684977145</v>
      </c>
      <c r="AR163" s="100">
        <v>327</v>
      </c>
      <c r="AS163" s="9">
        <f t="shared" ref="AS163:AS170" si="125">AR163/AR162-1</f>
        <v>0.91228070175438591</v>
      </c>
      <c r="AT163" s="100" t="s">
        <v>17</v>
      </c>
      <c r="AU163" s="99" t="s">
        <v>17</v>
      </c>
      <c r="AV163" s="100"/>
      <c r="AW163" s="99"/>
      <c r="AX163" s="100" t="s">
        <v>17</v>
      </c>
      <c r="AY163" s="99" t="s">
        <v>17</v>
      </c>
      <c r="AZ163" s="100" t="s">
        <v>17</v>
      </c>
      <c r="BA163" s="99" t="s">
        <v>17</v>
      </c>
      <c r="BB163" s="100" t="s">
        <v>17</v>
      </c>
      <c r="BC163" s="99" t="s">
        <v>17</v>
      </c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</row>
    <row r="164" spans="1:68" s="157" customFormat="1" ht="16.5" customHeight="1">
      <c r="A164" s="14" t="s">
        <v>32</v>
      </c>
      <c r="B164" s="62" t="s">
        <v>16</v>
      </c>
      <c r="C164" s="5">
        <v>7123407</v>
      </c>
      <c r="D164" s="9">
        <f t="shared" si="119"/>
        <v>0.17075110494313717</v>
      </c>
      <c r="E164" s="178"/>
      <c r="F164" s="5">
        <v>1271835</v>
      </c>
      <c r="G164" s="9">
        <f t="shared" si="120"/>
        <v>0.12157630133398478</v>
      </c>
      <c r="H164" s="5">
        <v>2124310</v>
      </c>
      <c r="I164" s="9">
        <f t="shared" si="121"/>
        <v>0.26534694276272375</v>
      </c>
      <c r="J164" s="5">
        <v>83624</v>
      </c>
      <c r="K164" s="9">
        <f t="shared" si="122"/>
        <v>-2.4724762082478091E-2</v>
      </c>
      <c r="L164" s="5">
        <v>457438</v>
      </c>
      <c r="M164" s="99" t="s">
        <v>17</v>
      </c>
      <c r="N164" s="5">
        <v>717361</v>
      </c>
      <c r="O164" s="9">
        <f t="shared" si="123"/>
        <v>0.29618333300207245</v>
      </c>
      <c r="P164" s="100" t="s">
        <v>17</v>
      </c>
      <c r="Q164" s="99" t="s">
        <v>17</v>
      </c>
      <c r="R164" s="5">
        <v>50447</v>
      </c>
      <c r="S164" s="9">
        <f>R164/R163-1</f>
        <v>4.5013879106765575E-2</v>
      </c>
      <c r="T164" s="100" t="s">
        <v>17</v>
      </c>
      <c r="U164" s="99" t="s">
        <v>17</v>
      </c>
      <c r="V164" s="100" t="s">
        <v>17</v>
      </c>
      <c r="W164" s="99" t="s">
        <v>17</v>
      </c>
      <c r="X164" s="126" t="s">
        <v>158</v>
      </c>
      <c r="Y164" s="99" t="s">
        <v>158</v>
      </c>
      <c r="Z164" s="126" t="s">
        <v>158</v>
      </c>
      <c r="AA164" s="99" t="s">
        <v>158</v>
      </c>
      <c r="AB164" s="5">
        <v>218155</v>
      </c>
      <c r="AC164" s="99" t="s">
        <v>17</v>
      </c>
      <c r="AD164" s="100" t="s">
        <v>17</v>
      </c>
      <c r="AE164" s="99" t="s">
        <v>17</v>
      </c>
      <c r="AF164" s="100" t="s">
        <v>17</v>
      </c>
      <c r="AG164" s="99" t="s">
        <v>17</v>
      </c>
      <c r="AH164" s="5"/>
      <c r="AI164" s="9"/>
      <c r="AJ164" s="100" t="s">
        <v>17</v>
      </c>
      <c r="AK164" s="99" t="s">
        <v>17</v>
      </c>
      <c r="AL164" s="100" t="s">
        <v>17</v>
      </c>
      <c r="AM164" s="233" t="s">
        <v>17</v>
      </c>
      <c r="AN164" s="100" t="s">
        <v>17</v>
      </c>
      <c r="AO164" s="99" t="s">
        <v>17</v>
      </c>
      <c r="AP164" s="100">
        <v>29374</v>
      </c>
      <c r="AQ164" s="9">
        <f t="shared" si="124"/>
        <v>8.1915285451197084E-2</v>
      </c>
      <c r="AR164" s="100">
        <v>146</v>
      </c>
      <c r="AS164" s="9">
        <f t="shared" si="125"/>
        <v>-0.55351681957186538</v>
      </c>
      <c r="AT164" s="100" t="s">
        <v>17</v>
      </c>
      <c r="AU164" s="99" t="s">
        <v>17</v>
      </c>
      <c r="AV164" s="100"/>
      <c r="AW164" s="99"/>
      <c r="AX164" s="100" t="s">
        <v>17</v>
      </c>
      <c r="AY164" s="99" t="s">
        <v>17</v>
      </c>
      <c r="AZ164" s="100" t="s">
        <v>17</v>
      </c>
      <c r="BA164" s="99" t="s">
        <v>17</v>
      </c>
      <c r="BB164" s="100" t="s">
        <v>17</v>
      </c>
      <c r="BC164" s="99" t="s">
        <v>17</v>
      </c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</row>
    <row r="165" spans="1:68" s="157" customFormat="1" ht="16.5" customHeight="1">
      <c r="A165" s="14" t="s">
        <v>33</v>
      </c>
      <c r="B165" s="62" t="s">
        <v>16</v>
      </c>
      <c r="C165" s="5">
        <v>7086133</v>
      </c>
      <c r="D165" s="9">
        <f t="shared" si="119"/>
        <v>-5.2326084975911069E-3</v>
      </c>
      <c r="E165" s="178"/>
      <c r="F165" s="5">
        <v>1459333</v>
      </c>
      <c r="G165" s="9">
        <f t="shared" si="120"/>
        <v>0.14742321134423886</v>
      </c>
      <c r="H165" s="5">
        <v>1945500</v>
      </c>
      <c r="I165" s="9">
        <f t="shared" si="121"/>
        <v>-8.417321389062804E-2</v>
      </c>
      <c r="J165" s="5">
        <v>92893</v>
      </c>
      <c r="K165" s="9">
        <f t="shared" si="122"/>
        <v>0.11084138524825415</v>
      </c>
      <c r="L165" s="5">
        <v>368176</v>
      </c>
      <c r="M165" s="9">
        <f t="shared" ref="M165:M174" si="126">L165/L164-1</f>
        <v>-0.19513464119727697</v>
      </c>
      <c r="N165" s="5">
        <v>695034</v>
      </c>
      <c r="O165" s="9">
        <f t="shared" si="123"/>
        <v>-3.1123799593231305E-2</v>
      </c>
      <c r="P165" s="100" t="s">
        <v>17</v>
      </c>
      <c r="Q165" s="99" t="s">
        <v>17</v>
      </c>
      <c r="R165" s="5">
        <v>38281</v>
      </c>
      <c r="S165" s="9">
        <f t="shared" ref="S165:S173" si="127">R165/R164-1</f>
        <v>-0.24116399389458243</v>
      </c>
      <c r="T165" s="100" t="s">
        <v>17</v>
      </c>
      <c r="U165" s="99" t="s">
        <v>17</v>
      </c>
      <c r="V165" s="100" t="s">
        <v>17</v>
      </c>
      <c r="W165" s="99" t="s">
        <v>17</v>
      </c>
      <c r="X165" s="126" t="s">
        <v>158</v>
      </c>
      <c r="Y165" s="99" t="s">
        <v>158</v>
      </c>
      <c r="Z165" s="126" t="s">
        <v>158</v>
      </c>
      <c r="AA165" s="99" t="s">
        <v>158</v>
      </c>
      <c r="AB165" s="5">
        <v>190630</v>
      </c>
      <c r="AC165" s="101">
        <f t="shared" ref="AC165:AC174" si="128">AB165/AB164-1</f>
        <v>-0.12617175861199603</v>
      </c>
      <c r="AD165" s="100" t="s">
        <v>17</v>
      </c>
      <c r="AE165" s="99" t="s">
        <v>17</v>
      </c>
      <c r="AF165" s="100" t="s">
        <v>17</v>
      </c>
      <c r="AG165" s="99" t="s">
        <v>17</v>
      </c>
      <c r="AH165" s="5"/>
      <c r="AI165" s="9"/>
      <c r="AJ165" s="100" t="s">
        <v>17</v>
      </c>
      <c r="AK165" s="99" t="s">
        <v>17</v>
      </c>
      <c r="AL165" s="100" t="s">
        <v>17</v>
      </c>
      <c r="AM165" s="233" t="s">
        <v>17</v>
      </c>
      <c r="AN165" s="100" t="s">
        <v>17</v>
      </c>
      <c r="AO165" s="99" t="s">
        <v>17</v>
      </c>
      <c r="AP165" s="100">
        <v>35584</v>
      </c>
      <c r="AQ165" s="9">
        <f t="shared" si="124"/>
        <v>0.21141145230475922</v>
      </c>
      <c r="AR165" s="100">
        <v>25</v>
      </c>
      <c r="AS165" s="9">
        <f t="shared" si="125"/>
        <v>-0.82876712328767121</v>
      </c>
      <c r="AT165" s="100" t="s">
        <v>17</v>
      </c>
      <c r="AU165" s="99" t="s">
        <v>17</v>
      </c>
      <c r="AV165" s="100"/>
      <c r="AW165" s="99"/>
      <c r="AX165" s="100"/>
      <c r="AY165" s="99" t="s">
        <v>17</v>
      </c>
      <c r="AZ165" s="100" t="s">
        <v>17</v>
      </c>
      <c r="BA165" s="99" t="s">
        <v>17</v>
      </c>
      <c r="BB165" s="100" t="s">
        <v>17</v>
      </c>
      <c r="BC165" s="99" t="s">
        <v>17</v>
      </c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</row>
    <row r="166" spans="1:68" s="157" customFormat="1" ht="16.5" customHeight="1">
      <c r="A166" s="14" t="s">
        <v>18</v>
      </c>
      <c r="B166" s="62" t="s">
        <v>16</v>
      </c>
      <c r="C166" s="5">
        <v>8825585</v>
      </c>
      <c r="D166" s="9">
        <f t="shared" si="119"/>
        <v>0.24547267176610998</v>
      </c>
      <c r="E166" s="178"/>
      <c r="F166" s="5">
        <f>SUM(F6:F17)</f>
        <v>1588472</v>
      </c>
      <c r="G166" s="9">
        <f t="shared" si="120"/>
        <v>8.8491797279990347E-2</v>
      </c>
      <c r="H166" s="5">
        <f>SUM(H6:H17)</f>
        <v>2844893</v>
      </c>
      <c r="I166" s="9">
        <f t="shared" si="121"/>
        <v>0.46229401182215368</v>
      </c>
      <c r="J166" s="5">
        <f>SUM(J6:J17)</f>
        <v>148095</v>
      </c>
      <c r="K166" s="9">
        <f t="shared" si="122"/>
        <v>0.5942536036084527</v>
      </c>
      <c r="L166" s="5">
        <f>SUM(L6:L17)</f>
        <v>539190</v>
      </c>
      <c r="M166" s="9">
        <f t="shared" si="126"/>
        <v>0.46448980922167649</v>
      </c>
      <c r="N166" s="5">
        <f>SUM(N6:N17)</f>
        <v>910891</v>
      </c>
      <c r="O166" s="9">
        <f t="shared" si="123"/>
        <v>0.31057041813781772</v>
      </c>
      <c r="P166" s="143">
        <v>232995</v>
      </c>
      <c r="Q166" s="195">
        <v>0.79100000000000004</v>
      </c>
      <c r="R166" s="5">
        <f>SUM(R6:R17)</f>
        <v>65631</v>
      </c>
      <c r="S166" s="9">
        <f t="shared" si="127"/>
        <v>0.71445364541156198</v>
      </c>
      <c r="T166" s="5">
        <f>SUM(T6:T17)</f>
        <v>360870</v>
      </c>
      <c r="U166" s="99" t="s">
        <v>17</v>
      </c>
      <c r="V166" s="100" t="s">
        <v>17</v>
      </c>
      <c r="W166" s="99" t="s">
        <v>17</v>
      </c>
      <c r="X166" s="11">
        <f>SUM(X6:X17)</f>
        <v>378602</v>
      </c>
      <c r="Y166" s="99" t="s">
        <v>158</v>
      </c>
      <c r="Z166" s="126" t="s">
        <v>158</v>
      </c>
      <c r="AA166" s="99" t="s">
        <v>158</v>
      </c>
      <c r="AB166" s="5">
        <v>246545</v>
      </c>
      <c r="AC166" s="101">
        <f t="shared" si="128"/>
        <v>0.2933168966059907</v>
      </c>
      <c r="AD166" s="5">
        <f>SUM(AD6:AD17)</f>
        <v>91270</v>
      </c>
      <c r="AE166" s="99" t="s">
        <v>17</v>
      </c>
      <c r="AF166" s="100">
        <f>SUM(AF6:AF17)</f>
        <v>18503</v>
      </c>
      <c r="AG166" s="99" t="s">
        <v>17</v>
      </c>
      <c r="AH166" s="5"/>
      <c r="AI166" s="9"/>
      <c r="AJ166" s="100" t="s">
        <v>17</v>
      </c>
      <c r="AK166" s="99" t="s">
        <v>17</v>
      </c>
      <c r="AL166" s="100" t="s">
        <v>17</v>
      </c>
      <c r="AM166" s="233" t="s">
        <v>17</v>
      </c>
      <c r="AN166" s="100" t="s">
        <v>17</v>
      </c>
      <c r="AO166" s="99" t="s">
        <v>17</v>
      </c>
      <c r="AP166" s="100">
        <v>47835</v>
      </c>
      <c r="AQ166" s="9">
        <f t="shared" si="124"/>
        <v>0.34428394784172656</v>
      </c>
      <c r="AR166" s="100">
        <v>12</v>
      </c>
      <c r="AS166" s="9">
        <f t="shared" si="125"/>
        <v>-0.52</v>
      </c>
      <c r="AT166" s="100">
        <v>10</v>
      </c>
      <c r="AU166" s="99" t="s">
        <v>17</v>
      </c>
      <c r="AV166" s="100"/>
      <c r="AW166" s="99"/>
      <c r="AX166" s="100">
        <v>7274</v>
      </c>
      <c r="AY166" s="9"/>
      <c r="AZ166" s="5">
        <v>3189</v>
      </c>
      <c r="BA166" s="99" t="s">
        <v>17</v>
      </c>
      <c r="BB166" s="100" t="s">
        <v>17</v>
      </c>
      <c r="BC166" s="99" t="s">
        <v>17</v>
      </c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</row>
    <row r="167" spans="1:68" s="157" customFormat="1" ht="16.5" customHeight="1">
      <c r="A167" s="14" t="s">
        <v>19</v>
      </c>
      <c r="B167" s="62" t="s">
        <v>16</v>
      </c>
      <c r="C167" s="5">
        <f>SUM(C18:C29)</f>
        <v>10080143</v>
      </c>
      <c r="D167" s="9">
        <f t="shared" si="119"/>
        <v>0.14215012375950153</v>
      </c>
      <c r="E167" s="178"/>
      <c r="F167" s="5">
        <f>SUM(F18:F29)</f>
        <v>1747171</v>
      </c>
      <c r="G167" s="9">
        <f t="shared" si="120"/>
        <v>9.9906702793628011E-2</v>
      </c>
      <c r="H167" s="5">
        <v>3545341</v>
      </c>
      <c r="I167" s="9">
        <f t="shared" si="121"/>
        <v>0.24621242345494188</v>
      </c>
      <c r="J167" s="5">
        <f>SUM(J18:J29)</f>
        <v>182517</v>
      </c>
      <c r="K167" s="9">
        <f t="shared" si="122"/>
        <v>0.23243188493872169</v>
      </c>
      <c r="L167" s="5">
        <f>SUM(L18:L29)</f>
        <v>642480</v>
      </c>
      <c r="M167" s="9">
        <f t="shared" si="126"/>
        <v>0.1915651254659767</v>
      </c>
      <c r="N167" s="5">
        <v>816407</v>
      </c>
      <c r="O167" s="9">
        <f t="shared" si="123"/>
        <v>-0.10372701014720753</v>
      </c>
      <c r="P167" s="5">
        <f>SUM(P18:P29)</f>
        <v>317213</v>
      </c>
      <c r="Q167" s="9">
        <f t="shared" ref="Q167:Q174" si="129">P167/P166-1</f>
        <v>0.36145840039485821</v>
      </c>
      <c r="R167" s="5">
        <f>SUM(R18:R29)</f>
        <v>120739</v>
      </c>
      <c r="S167" s="9">
        <f t="shared" si="127"/>
        <v>0.83966418308421331</v>
      </c>
      <c r="T167" s="5">
        <f>SUM(T18:T29)</f>
        <v>364192</v>
      </c>
      <c r="U167" s="9">
        <f t="shared" ref="U167:U173" si="130">T167/T166-1</f>
        <v>9.2055310776733013E-3</v>
      </c>
      <c r="V167" s="100" t="s">
        <v>17</v>
      </c>
      <c r="W167" s="99" t="s">
        <v>17</v>
      </c>
      <c r="X167" s="11">
        <f>SUM(X18:X29)</f>
        <v>489465</v>
      </c>
      <c r="Y167" s="9">
        <f>X167/X166-1</f>
        <v>0.29282201361852289</v>
      </c>
      <c r="Z167" s="126" t="s">
        <v>158</v>
      </c>
      <c r="AA167" s="99" t="s">
        <v>158</v>
      </c>
      <c r="AB167" s="5">
        <v>263356</v>
      </c>
      <c r="AC167" s="101">
        <f t="shared" si="128"/>
        <v>6.818633515179795E-2</v>
      </c>
      <c r="AD167" s="5">
        <f>SUM(AD18:AD29)</f>
        <v>158177</v>
      </c>
      <c r="AE167" s="9">
        <f t="shared" ref="AE167:AE174" si="131">AD167/AD166-1</f>
        <v>0.73306672510134763</v>
      </c>
      <c r="AF167" s="100">
        <f>SUM(AF18:AF29)</f>
        <v>25888</v>
      </c>
      <c r="AG167" s="9">
        <f t="shared" ref="AG167:AG173" si="132">AF167/AF166-1</f>
        <v>0.39912446630276177</v>
      </c>
      <c r="AH167" s="5"/>
      <c r="AI167" s="9"/>
      <c r="AJ167" s="11">
        <v>30787</v>
      </c>
      <c r="AK167" s="99" t="s">
        <v>17</v>
      </c>
      <c r="AL167" s="100" t="s">
        <v>17</v>
      </c>
      <c r="AM167" s="233" t="s">
        <v>17</v>
      </c>
      <c r="AN167" s="100" t="s">
        <v>17</v>
      </c>
      <c r="AO167" s="99" t="s">
        <v>17</v>
      </c>
      <c r="AP167" s="11">
        <v>49895</v>
      </c>
      <c r="AQ167" s="9">
        <f t="shared" si="124"/>
        <v>4.3064701578342302E-2</v>
      </c>
      <c r="AR167" s="100">
        <f>SUM(AR18:AR29)</f>
        <v>51</v>
      </c>
      <c r="AS167" s="9">
        <f t="shared" si="125"/>
        <v>3.25</v>
      </c>
      <c r="AT167" s="100">
        <v>61</v>
      </c>
      <c r="AU167" s="9">
        <f t="shared" ref="AU167:AU177" si="133">AT167/AT166-1</f>
        <v>5.0999999999999996</v>
      </c>
      <c r="AV167" s="100">
        <v>13200</v>
      </c>
      <c r="AW167" s="99"/>
      <c r="AX167" s="100">
        <v>9189</v>
      </c>
      <c r="AY167" s="9">
        <f t="shared" ref="AY167:AY173" si="134">AX167/AX166-1</f>
        <v>0.26326642837503433</v>
      </c>
      <c r="AZ167" s="5">
        <v>5475</v>
      </c>
      <c r="BA167" s="9">
        <f>AZ167/AZ166-1</f>
        <v>0.71683913452492942</v>
      </c>
      <c r="BB167" s="100" t="s">
        <v>17</v>
      </c>
      <c r="BC167" s="99" t="s">
        <v>17</v>
      </c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</row>
    <row r="168" spans="1:68" s="157" customFormat="1" ht="16.5" customHeight="1">
      <c r="A168" s="14" t="s">
        <v>20</v>
      </c>
      <c r="B168" s="62" t="s">
        <v>16</v>
      </c>
      <c r="C168" s="5">
        <f>SUM(C30:C41)</f>
        <v>11609879</v>
      </c>
      <c r="D168" s="9">
        <f t="shared" si="119"/>
        <v>0.15175737090237718</v>
      </c>
      <c r="E168" s="178"/>
      <c r="F168" s="5">
        <f>SUM(F30:F41)</f>
        <v>2117325</v>
      </c>
      <c r="G168" s="9">
        <f t="shared" si="120"/>
        <v>0.21185905672655969</v>
      </c>
      <c r="H168" s="5">
        <v>3923986</v>
      </c>
      <c r="I168" s="9">
        <f t="shared" si="121"/>
        <v>0.10680072805408569</v>
      </c>
      <c r="J168" s="5">
        <f>SUM(J30:J41)</f>
        <v>196260</v>
      </c>
      <c r="K168" s="9">
        <f t="shared" si="122"/>
        <v>7.5297095613011455E-2</v>
      </c>
      <c r="L168" s="5">
        <f>SUM(L30:L41)</f>
        <v>718758</v>
      </c>
      <c r="M168" s="9">
        <f t="shared" si="126"/>
        <v>0.11872431826671637</v>
      </c>
      <c r="N168" s="5">
        <v>1092783</v>
      </c>
      <c r="O168" s="9">
        <f t="shared" si="123"/>
        <v>0.33852722967833437</v>
      </c>
      <c r="P168" s="5">
        <v>421741</v>
      </c>
      <c r="Q168" s="9">
        <f t="shared" si="129"/>
        <v>0.32951991248782364</v>
      </c>
      <c r="R168" s="5">
        <f>SUM(R30:R41)</f>
        <v>162709</v>
      </c>
      <c r="S168" s="9">
        <f t="shared" si="127"/>
        <v>0.34760930602373707</v>
      </c>
      <c r="T168" s="5">
        <f>SUM(T30:T41)</f>
        <v>454661</v>
      </c>
      <c r="U168" s="9">
        <f t="shared" si="130"/>
        <v>0.24841017924611197</v>
      </c>
      <c r="V168" s="100">
        <f>SUM(V30:V41)</f>
        <v>5298</v>
      </c>
      <c r="W168" s="99" t="s">
        <v>17</v>
      </c>
      <c r="X168" s="11">
        <f>SUM(X30:X41)</f>
        <v>572133</v>
      </c>
      <c r="Y168" s="9">
        <f>X168/X167-1</f>
        <v>0.16889460942048973</v>
      </c>
      <c r="Z168" s="11">
        <v>285353</v>
      </c>
      <c r="AA168" s="99" t="s">
        <v>158</v>
      </c>
      <c r="AB168" s="5">
        <v>298228</v>
      </c>
      <c r="AC168" s="101">
        <f t="shared" si="128"/>
        <v>0.13241391880192599</v>
      </c>
      <c r="AD168" s="5">
        <f>SUM(AD30:AD41)</f>
        <v>189464</v>
      </c>
      <c r="AE168" s="9">
        <f t="shared" si="131"/>
        <v>0.19779740417380531</v>
      </c>
      <c r="AF168" s="100">
        <f>SUM(AF30:AF41)</f>
        <v>28035</v>
      </c>
      <c r="AG168" s="9">
        <f t="shared" si="132"/>
        <v>8.2934177997527891E-2</v>
      </c>
      <c r="AH168" s="5"/>
      <c r="AI168" s="9"/>
      <c r="AJ168" s="11">
        <f>SUM(AJ30:AJ41)</f>
        <v>39930</v>
      </c>
      <c r="AK168" s="9">
        <f t="shared" ref="AK168:AK173" si="135">AJ168/AJ167-1</f>
        <v>0.29697599636210081</v>
      </c>
      <c r="AL168" s="100">
        <v>16157</v>
      </c>
      <c r="AM168" s="233" t="s">
        <v>17</v>
      </c>
      <c r="AN168" s="100">
        <f>SUM(AN30:AN41)</f>
        <v>18265</v>
      </c>
      <c r="AO168" s="99" t="s">
        <v>17</v>
      </c>
      <c r="AP168" s="11">
        <v>70407</v>
      </c>
      <c r="AQ168" s="9">
        <f t="shared" si="124"/>
        <v>0.41110331696562774</v>
      </c>
      <c r="AR168" s="100">
        <f>SUM(AR30:AR41)</f>
        <v>48</v>
      </c>
      <c r="AS168" s="9">
        <f t="shared" si="125"/>
        <v>-5.8823529411764719E-2</v>
      </c>
      <c r="AT168" s="100">
        <v>60</v>
      </c>
      <c r="AU168" s="9">
        <f t="shared" si="133"/>
        <v>-1.6393442622950838E-2</v>
      </c>
      <c r="AV168" s="100">
        <v>17499</v>
      </c>
      <c r="AW168" s="9">
        <f t="shared" ref="AW168:AW174" si="136">AV168/AV167-1</f>
        <v>0.32568181818181818</v>
      </c>
      <c r="AX168" s="100">
        <v>10963</v>
      </c>
      <c r="AY168" s="9">
        <f t="shared" si="134"/>
        <v>0.19305691587767981</v>
      </c>
      <c r="AZ168" s="5">
        <v>7002</v>
      </c>
      <c r="BA168" s="9">
        <f t="shared" ref="BA168:BA173" si="137">AZ168/AZ167-1</f>
        <v>0.27890410958904099</v>
      </c>
      <c r="BB168" s="100" t="s">
        <v>17</v>
      </c>
      <c r="BC168" s="99" t="s">
        <v>17</v>
      </c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</row>
    <row r="169" spans="1:68" s="157" customFormat="1" ht="16.5" customHeight="1">
      <c r="A169" s="14" t="s">
        <v>42</v>
      </c>
      <c r="B169" s="62" t="s">
        <v>16</v>
      </c>
      <c r="C169" s="5">
        <f>SUM(SUM(C42:C53))</f>
        <v>13324977</v>
      </c>
      <c r="D169" s="9">
        <f t="shared" si="119"/>
        <v>0.147727465548952</v>
      </c>
      <c r="E169" s="178"/>
      <c r="F169" s="100">
        <f>SUM(F42:F53)</f>
        <v>2600801</v>
      </c>
      <c r="G169" s="9">
        <f t="shared" si="120"/>
        <v>0.22834283825109503</v>
      </c>
      <c r="H169" s="100">
        <f>SUM(H42:H53)</f>
        <v>4776752</v>
      </c>
      <c r="I169" s="9">
        <f t="shared" si="121"/>
        <v>0.2173213665899929</v>
      </c>
      <c r="J169" s="100">
        <f>SUM(J42:J53)</f>
        <v>225814</v>
      </c>
      <c r="K169" s="9">
        <f t="shared" si="122"/>
        <v>0.15058595740344449</v>
      </c>
      <c r="L169" s="100">
        <f>SUM(L42:L53)</f>
        <v>876231</v>
      </c>
      <c r="M169" s="9">
        <f t="shared" si="126"/>
        <v>0.21909043099346381</v>
      </c>
      <c r="N169" s="5">
        <f>SUM(N42:N53)</f>
        <v>1083652</v>
      </c>
      <c r="O169" s="9">
        <f t="shared" si="123"/>
        <v>-8.3557302776489095E-3</v>
      </c>
      <c r="P169" s="100">
        <v>475535</v>
      </c>
      <c r="Q169" s="9">
        <f t="shared" si="129"/>
        <v>0.12755221806748684</v>
      </c>
      <c r="R169" s="100">
        <f>SUM(R42:R53)</f>
        <v>225417</v>
      </c>
      <c r="S169" s="9">
        <f t="shared" si="127"/>
        <v>0.38539970130724166</v>
      </c>
      <c r="T169" s="100">
        <f>SUM(T42:T53)</f>
        <v>463610</v>
      </c>
      <c r="U169" s="9">
        <f t="shared" si="130"/>
        <v>1.9682796633095911E-2</v>
      </c>
      <c r="V169" s="100">
        <f>SUM(V42:V53)</f>
        <v>4870</v>
      </c>
      <c r="W169" s="9">
        <f>V169/V168-1</f>
        <v>-8.0785201963004871E-2</v>
      </c>
      <c r="X169" s="11">
        <f>SUM(X42:X53)</f>
        <v>653310</v>
      </c>
      <c r="Y169" s="9">
        <f>X169/X168-1</f>
        <v>0.141884841461688</v>
      </c>
      <c r="Z169" s="11">
        <v>329909</v>
      </c>
      <c r="AA169" s="101">
        <f t="shared" ref="AA169:AA174" si="138">Z169/Z168-1</f>
        <v>0.15614344338415931</v>
      </c>
      <c r="AB169" s="5">
        <v>337246</v>
      </c>
      <c r="AC169" s="101">
        <f t="shared" si="128"/>
        <v>0.13083278565392931</v>
      </c>
      <c r="AD169" s="100">
        <f>SUM(AD42:AD53)</f>
        <v>224867</v>
      </c>
      <c r="AE169" s="9">
        <f t="shared" si="131"/>
        <v>0.1868587172233247</v>
      </c>
      <c r="AF169" s="100">
        <f>SUM(AF42:AF53)</f>
        <v>33836</v>
      </c>
      <c r="AG169" s="9">
        <f t="shared" si="132"/>
        <v>0.20691992152666305</v>
      </c>
      <c r="AH169" s="5"/>
      <c r="AI169" s="9"/>
      <c r="AJ169" s="11">
        <f>SUM(AJ42:AJ53)</f>
        <v>32273</v>
      </c>
      <c r="AK169" s="9">
        <f t="shared" si="135"/>
        <v>-0.1917605810167794</v>
      </c>
      <c r="AL169" s="100">
        <v>20976</v>
      </c>
      <c r="AM169" s="37">
        <f>AL169/AL168-1</f>
        <v>0.29826081574549734</v>
      </c>
      <c r="AN169" s="100">
        <f>SUM(AN42:AN53)</f>
        <v>13821</v>
      </c>
      <c r="AO169" s="9">
        <f t="shared" ref="AO169:AO174" si="139">AN169/AN168-1</f>
        <v>-0.24330687106487814</v>
      </c>
      <c r="AP169" s="11">
        <v>84583</v>
      </c>
      <c r="AQ169" s="9">
        <f t="shared" si="124"/>
        <v>0.20134361640177834</v>
      </c>
      <c r="AR169" s="100">
        <f>SUM(AR42:AR53)</f>
        <v>133</v>
      </c>
      <c r="AS169" s="9">
        <f t="shared" si="125"/>
        <v>1.7708333333333335</v>
      </c>
      <c r="AT169" s="100">
        <v>172</v>
      </c>
      <c r="AU169" s="9">
        <f t="shared" si="133"/>
        <v>1.8666666666666667</v>
      </c>
      <c r="AV169" s="100">
        <v>21238</v>
      </c>
      <c r="AW169" s="9">
        <f t="shared" si="136"/>
        <v>0.21366935253443065</v>
      </c>
      <c r="AX169" s="100">
        <v>13060</v>
      </c>
      <c r="AY169" s="9">
        <f t="shared" si="134"/>
        <v>0.19127975919000284</v>
      </c>
      <c r="AZ169" s="5">
        <f>SUM(AZ42:AZ53)</f>
        <v>12513</v>
      </c>
      <c r="BA169" s="9">
        <f t="shared" si="137"/>
        <v>0.78706083976006846</v>
      </c>
      <c r="BB169" s="100">
        <f>SUM(BB42:BB53)</f>
        <v>1242</v>
      </c>
      <c r="BC169" s="99" t="s">
        <v>17</v>
      </c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</row>
    <row r="170" spans="1:68" s="157" customFormat="1" ht="16.5" customHeight="1">
      <c r="A170" s="14" t="s">
        <v>160</v>
      </c>
      <c r="B170" s="62" t="s">
        <v>161</v>
      </c>
      <c r="C170" s="5">
        <f>SUM(C54:C65)</f>
        <v>11996094</v>
      </c>
      <c r="D170" s="9">
        <f t="shared" si="119"/>
        <v>-9.9728727486734114E-2</v>
      </c>
      <c r="E170" s="178"/>
      <c r="F170" s="5">
        <f>SUM(F54:F65)</f>
        <v>2382548</v>
      </c>
      <c r="G170" s="9">
        <f t="shared" si="120"/>
        <v>-8.3917608459855297E-2</v>
      </c>
      <c r="H170" s="5">
        <f>SUM(H54:H65)</f>
        <v>3960392</v>
      </c>
      <c r="I170" s="9">
        <f t="shared" si="121"/>
        <v>-0.1709027389322284</v>
      </c>
      <c r="J170" s="5">
        <f>SUM(J54:J65)</f>
        <v>252266</v>
      </c>
      <c r="K170" s="9">
        <f t="shared" si="122"/>
        <v>0.11714065558379905</v>
      </c>
      <c r="L170" s="5">
        <f>SUM(L54:L65)</f>
        <v>904320</v>
      </c>
      <c r="M170" s="9">
        <f t="shared" si="126"/>
        <v>3.2056615207633588E-2</v>
      </c>
      <c r="N170" s="5">
        <f>SUM(N54:N65)</f>
        <v>888344</v>
      </c>
      <c r="O170" s="9">
        <f t="shared" si="123"/>
        <v>-0.18023129196457899</v>
      </c>
      <c r="P170" s="5">
        <f>SUM(P54:P65)</f>
        <v>449237</v>
      </c>
      <c r="Q170" s="9">
        <f t="shared" si="129"/>
        <v>-5.5301923097143213E-2</v>
      </c>
      <c r="R170" s="5">
        <f>SUM(R54:R65)</f>
        <v>279794</v>
      </c>
      <c r="S170" s="9">
        <f t="shared" si="127"/>
        <v>0.24122847877489284</v>
      </c>
      <c r="T170" s="5">
        <f>SUM(T54:T65)</f>
        <v>423011</v>
      </c>
      <c r="U170" s="9">
        <f t="shared" si="130"/>
        <v>-8.7571450141282536E-2</v>
      </c>
      <c r="V170" s="100">
        <f>SUM(V54:V65)</f>
        <v>4300</v>
      </c>
      <c r="W170" s="9">
        <f>V170/V169-1</f>
        <v>-0.11704312114989734</v>
      </c>
      <c r="X170" s="11">
        <f>SUM(X54:X65)</f>
        <v>611629</v>
      </c>
      <c r="Y170" s="9">
        <f>X170/X169-1</f>
        <v>-6.3799727541289708E-2</v>
      </c>
      <c r="Z170" s="11">
        <v>266525</v>
      </c>
      <c r="AA170" s="101">
        <f t="shared" si="138"/>
        <v>-0.19212570739203838</v>
      </c>
      <c r="AB170" s="5">
        <v>331409</v>
      </c>
      <c r="AC170" s="101">
        <f t="shared" si="128"/>
        <v>-1.730784056741963E-2</v>
      </c>
      <c r="AD170" s="5">
        <f>SUM(AD54:AD65)</f>
        <v>267461</v>
      </c>
      <c r="AE170" s="9">
        <f t="shared" si="131"/>
        <v>0.18941863412595006</v>
      </c>
      <c r="AF170" s="100">
        <f>SUM(AF54:AF65)</f>
        <v>37601</v>
      </c>
      <c r="AG170" s="9">
        <f t="shared" si="132"/>
        <v>0.11127201796902697</v>
      </c>
      <c r="AH170" s="5">
        <f>SUM(AH54:AH65)</f>
        <v>119500</v>
      </c>
      <c r="AI170" s="99" t="s">
        <v>158</v>
      </c>
      <c r="AJ170" s="11">
        <f>SUM(AJ54:AJ65)</f>
        <v>43396</v>
      </c>
      <c r="AK170" s="9">
        <f t="shared" si="135"/>
        <v>0.34465342546401012</v>
      </c>
      <c r="AL170" s="100">
        <v>20934</v>
      </c>
      <c r="AM170" s="37">
        <f>AL170/AL169-1</f>
        <v>-2.0022883295194305E-3</v>
      </c>
      <c r="AN170" s="100">
        <f>SUM(AN54:AN65)</f>
        <v>12369</v>
      </c>
      <c r="AO170" s="9">
        <f t="shared" si="139"/>
        <v>-0.10505752116344691</v>
      </c>
      <c r="AP170" s="11">
        <v>79802</v>
      </c>
      <c r="AQ170" s="9">
        <f t="shared" si="124"/>
        <v>-5.6524360687135733E-2</v>
      </c>
      <c r="AR170" s="100">
        <v>0</v>
      </c>
      <c r="AS170" s="9">
        <f t="shared" si="125"/>
        <v>-1</v>
      </c>
      <c r="AT170" s="100">
        <v>97</v>
      </c>
      <c r="AU170" s="9">
        <f t="shared" si="133"/>
        <v>-0.43604651162790697</v>
      </c>
      <c r="AV170" s="100">
        <v>20896</v>
      </c>
      <c r="AW170" s="9">
        <f t="shared" si="136"/>
        <v>-1.610321122516245E-2</v>
      </c>
      <c r="AX170" s="100">
        <v>18065</v>
      </c>
      <c r="AY170" s="9">
        <f t="shared" si="134"/>
        <v>0.38323124042879031</v>
      </c>
      <c r="AZ170" s="5">
        <f>SUM(AZ54:AZ65)</f>
        <v>12556</v>
      </c>
      <c r="BA170" s="9">
        <f t="shared" si="137"/>
        <v>3.4364261168384758E-3</v>
      </c>
      <c r="BB170" s="100">
        <f>SUM(BB54:BB65)</f>
        <v>1053</v>
      </c>
      <c r="BC170" s="238">
        <f>BB170/BB169-1</f>
        <v>-0.15217391304347827</v>
      </c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</row>
    <row r="171" spans="1:68" s="157" customFormat="1" ht="16.5" customHeight="1">
      <c r="A171" s="14" t="s">
        <v>162</v>
      </c>
      <c r="B171" s="62" t="s">
        <v>161</v>
      </c>
      <c r="C171" s="5">
        <f>SUM(C66:C77)</f>
        <v>9494111</v>
      </c>
      <c r="D171" s="9">
        <f t="shared" si="119"/>
        <v>-0.20856647171987819</v>
      </c>
      <c r="E171" s="178"/>
      <c r="F171" s="5">
        <f>SUM(F66:F77)</f>
        <v>1586772</v>
      </c>
      <c r="G171" s="9">
        <f t="shared" si="120"/>
        <v>-0.33400208516260743</v>
      </c>
      <c r="H171" s="5">
        <f>SUM(H66:H77)</f>
        <v>3197500</v>
      </c>
      <c r="I171" s="9">
        <f t="shared" si="121"/>
        <v>-0.19263042648303497</v>
      </c>
      <c r="J171" s="5">
        <f>SUM(J66:J77)</f>
        <v>167641</v>
      </c>
      <c r="K171" s="9">
        <f t="shared" si="122"/>
        <v>-0.33545939603434471</v>
      </c>
      <c r="L171" s="5">
        <f>SUM(L66:L77)</f>
        <v>618694</v>
      </c>
      <c r="M171" s="9">
        <f t="shared" si="126"/>
        <v>-0.31584616065109694</v>
      </c>
      <c r="N171" s="5">
        <f>SUM(N66:N77)</f>
        <v>618227</v>
      </c>
      <c r="O171" s="9">
        <f t="shared" si="123"/>
        <v>-0.3040680186954603</v>
      </c>
      <c r="P171" s="5">
        <f>SUM(P66:P77)</f>
        <v>362115</v>
      </c>
      <c r="Q171" s="9">
        <f t="shared" si="129"/>
        <v>-0.19393326907623365</v>
      </c>
      <c r="R171" s="5">
        <f>SUM(R66:R77)</f>
        <v>204767</v>
      </c>
      <c r="S171" s="9">
        <f t="shared" si="127"/>
        <v>-0.26815085384246984</v>
      </c>
      <c r="T171" s="5">
        <f>SUM(T66:T77)</f>
        <v>271982</v>
      </c>
      <c r="U171" s="9">
        <f t="shared" si="130"/>
        <v>-0.35703326863840423</v>
      </c>
      <c r="V171" s="5">
        <f>SUM(V66:V77)</f>
        <v>3695</v>
      </c>
      <c r="W171" s="9">
        <f>V171/V170-1</f>
        <v>-0.1406976744186047</v>
      </c>
      <c r="X171" s="11">
        <f>SUM(X66:X77)</f>
        <v>497936</v>
      </c>
      <c r="Y171" s="9">
        <f>X171/X170-1</f>
        <v>-0.18588556134519452</v>
      </c>
      <c r="Z171" s="11">
        <v>197725</v>
      </c>
      <c r="AA171" s="101">
        <f t="shared" si="138"/>
        <v>-0.25813713535315641</v>
      </c>
      <c r="AB171" s="5">
        <v>260314</v>
      </c>
      <c r="AC171" s="9">
        <f t="shared" si="128"/>
        <v>-0.21452344384129585</v>
      </c>
      <c r="AD171" s="5">
        <f>SUM(AD66:AD77)</f>
        <v>227312</v>
      </c>
      <c r="AE171" s="9">
        <f t="shared" si="131"/>
        <v>-0.15011160505643817</v>
      </c>
      <c r="AF171" s="100">
        <f>SUM(AF66:AF77)</f>
        <v>20900</v>
      </c>
      <c r="AG171" s="9">
        <f t="shared" si="132"/>
        <v>-0.44416371905002527</v>
      </c>
      <c r="AH171" s="5">
        <f>SUM(AH66:AH77)</f>
        <v>89148</v>
      </c>
      <c r="AI171" s="9">
        <f>AH171/AH170-1</f>
        <v>-0.25399163179916318</v>
      </c>
      <c r="AJ171" s="11">
        <f>SUM(AJ66:AJ77)</f>
        <v>27189</v>
      </c>
      <c r="AK171" s="9">
        <f t="shared" si="135"/>
        <v>-0.37346760070052543</v>
      </c>
      <c r="AL171" s="5">
        <f>SUM(AL66:AL77)</f>
        <v>16126</v>
      </c>
      <c r="AM171" s="37">
        <f>AL171/AL170-1</f>
        <v>-0.22967421419700007</v>
      </c>
      <c r="AN171" s="100">
        <f>SUM(AN66:AN77)</f>
        <v>12508</v>
      </c>
      <c r="AO171" s="9">
        <f t="shared" si="139"/>
        <v>1.123777184897734E-2</v>
      </c>
      <c r="AP171" s="11">
        <v>70485</v>
      </c>
      <c r="AQ171" s="9">
        <f t="shared" si="124"/>
        <v>-0.11675145986316138</v>
      </c>
      <c r="AR171" s="5">
        <f>SUM(AR66:AR77)</f>
        <v>60</v>
      </c>
      <c r="AS171" s="9">
        <v>0.6</v>
      </c>
      <c r="AT171" s="100">
        <v>49</v>
      </c>
      <c r="AU171" s="9">
        <f t="shared" si="133"/>
        <v>-0.49484536082474229</v>
      </c>
      <c r="AV171" s="5">
        <v>11191</v>
      </c>
      <c r="AW171" s="9">
        <f t="shared" si="136"/>
        <v>-0.46444295558958648</v>
      </c>
      <c r="AX171" s="5">
        <v>17876</v>
      </c>
      <c r="AY171" s="9">
        <f>AX171/AX170-1</f>
        <v>-1.0462219761970704E-2</v>
      </c>
      <c r="AZ171" s="5">
        <f>SUM(AZ66:AZ77)</f>
        <v>11792</v>
      </c>
      <c r="BA171" s="9">
        <f t="shared" si="137"/>
        <v>-6.0847403631729802E-2</v>
      </c>
      <c r="BB171" s="100" t="s">
        <v>17</v>
      </c>
      <c r="BC171" s="99" t="s">
        <v>17</v>
      </c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</row>
    <row r="172" spans="1:68" s="157" customFormat="1" ht="16.5" customHeight="1">
      <c r="A172" s="14" t="s">
        <v>163</v>
      </c>
      <c r="B172" s="62" t="s">
        <v>161</v>
      </c>
      <c r="C172" s="5">
        <f>SUM(C78:C89)</f>
        <v>12488364</v>
      </c>
      <c r="D172" s="9">
        <f>C172/SUM(C66:C77)-1</f>
        <v>0.31538002873570781</v>
      </c>
      <c r="E172" s="178"/>
      <c r="F172" s="5">
        <f>SUM(F78:F89)</f>
        <v>2439816</v>
      </c>
      <c r="G172" s="9">
        <f t="shared" si="120"/>
        <v>0.53759708389106953</v>
      </c>
      <c r="H172" s="5">
        <f>SUM(H78:H89)</f>
        <v>4076400</v>
      </c>
      <c r="I172" s="9">
        <f t="shared" si="121"/>
        <v>0.27487099296325246</v>
      </c>
      <c r="J172" s="5">
        <f>SUM(J78:J89)</f>
        <v>216901</v>
      </c>
      <c r="K172" s="9">
        <f t="shared" si="122"/>
        <v>0.29384219850752502</v>
      </c>
      <c r="L172" s="5">
        <f>SUM(L78:L89)</f>
        <v>891024</v>
      </c>
      <c r="M172" s="9">
        <f t="shared" si="126"/>
        <v>0.44016913045867589</v>
      </c>
      <c r="N172" s="5">
        <f>SUM(N78:N89)</f>
        <v>805445</v>
      </c>
      <c r="O172" s="9">
        <f t="shared" si="123"/>
        <v>0.30283051371098324</v>
      </c>
      <c r="P172" s="5">
        <f>SUM(P78:P89)</f>
        <v>495902</v>
      </c>
      <c r="Q172" s="9">
        <f t="shared" si="129"/>
        <v>0.36945997818372622</v>
      </c>
      <c r="R172" s="5">
        <f>SUM(R78:R89)</f>
        <v>331768</v>
      </c>
      <c r="S172" s="9">
        <f t="shared" si="127"/>
        <v>0.62022200842909259</v>
      </c>
      <c r="T172" s="5">
        <f>SUM(T78:T89)</f>
        <v>360615</v>
      </c>
      <c r="U172" s="9">
        <f t="shared" si="130"/>
        <v>0.32587818311505901</v>
      </c>
      <c r="V172" s="5">
        <f>SUM(V78:V89)</f>
        <v>4426</v>
      </c>
      <c r="W172" s="9">
        <f>V172/V171-1</f>
        <v>0.19783491204330184</v>
      </c>
      <c r="X172" s="5">
        <f>SUM(X78:X89)</f>
        <v>740622</v>
      </c>
      <c r="Y172" s="9">
        <f>X172/SUM(X66:X77)-1</f>
        <v>0.48738392082516624</v>
      </c>
      <c r="Z172" s="5">
        <f>SUM(Z78:Z89)</f>
        <v>289702</v>
      </c>
      <c r="AA172" s="101">
        <f t="shared" si="138"/>
        <v>0.46517638133771655</v>
      </c>
      <c r="AB172" s="5">
        <v>296060</v>
      </c>
      <c r="AC172" s="9">
        <f t="shared" si="128"/>
        <v>0.13731877655446878</v>
      </c>
      <c r="AD172" s="5">
        <f>SUM(AD78:AD89)</f>
        <v>264052</v>
      </c>
      <c r="AE172" s="9">
        <f t="shared" si="131"/>
        <v>0.16162807066938822</v>
      </c>
      <c r="AF172" s="100">
        <f>SUM(AF78:AF89)</f>
        <v>38300</v>
      </c>
      <c r="AG172" s="9">
        <f t="shared" si="132"/>
        <v>0.83253588516746402</v>
      </c>
      <c r="AH172" s="5">
        <f>SUM(AH78:AH89)</f>
        <v>123315</v>
      </c>
      <c r="AI172" s="9">
        <f>AH172/AH171-1</f>
        <v>0.38326154260331124</v>
      </c>
      <c r="AJ172" s="11">
        <f>SUM(AJ78:AJ89)</f>
        <v>42231</v>
      </c>
      <c r="AK172" s="9">
        <f t="shared" si="135"/>
        <v>0.55323844201699224</v>
      </c>
      <c r="AL172" s="5">
        <f>SUM(AL78:AL89)</f>
        <v>24808</v>
      </c>
      <c r="AM172" s="37">
        <f>AL172/AL171-1</f>
        <v>0.53838521642068704</v>
      </c>
      <c r="AN172" s="100">
        <f>SUM(AN78:AN89)</f>
        <v>18930</v>
      </c>
      <c r="AO172" s="9">
        <f t="shared" si="139"/>
        <v>0.5134314039015031</v>
      </c>
      <c r="AP172" s="11">
        <v>95587</v>
      </c>
      <c r="AQ172" s="9">
        <f t="shared" si="124"/>
        <v>0.35613251046321914</v>
      </c>
      <c r="AR172" s="5">
        <f>SUM(AR78:AR89)</f>
        <v>143</v>
      </c>
      <c r="AS172" s="9">
        <f>AR172/AR171-1</f>
        <v>1.3833333333333333</v>
      </c>
      <c r="AT172" s="100">
        <v>182</v>
      </c>
      <c r="AU172" s="9">
        <f t="shared" si="133"/>
        <v>2.7142857142857144</v>
      </c>
      <c r="AV172" s="5">
        <v>18833</v>
      </c>
      <c r="AW172" s="9">
        <f t="shared" si="136"/>
        <v>0.68287016352426066</v>
      </c>
      <c r="AX172" s="5">
        <v>27312</v>
      </c>
      <c r="AY172" s="9">
        <f t="shared" si="134"/>
        <v>0.52785858133810692</v>
      </c>
      <c r="AZ172" s="5">
        <f>SUM(AZ78:AZ89)</f>
        <v>15151</v>
      </c>
      <c r="BA172" s="9">
        <f>AZ172/AZ171-1</f>
        <v>0.28485413839891449</v>
      </c>
      <c r="BB172" s="100" t="s">
        <v>17</v>
      </c>
      <c r="BC172" s="99" t="s">
        <v>17</v>
      </c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</row>
    <row r="173" spans="1:68" s="158" customFormat="1" ht="16.5" customHeight="1">
      <c r="A173" s="73" t="s">
        <v>164</v>
      </c>
      <c r="B173" s="102" t="s">
        <v>161</v>
      </c>
      <c r="C173" s="68">
        <v>12693733</v>
      </c>
      <c r="D173" s="122">
        <f>C173/SUM(C78:C89)-1</f>
        <v>1.6444828161639169E-2</v>
      </c>
      <c r="E173" s="178"/>
      <c r="F173" s="68">
        <f>SUM(F90:F101)</f>
        <v>1658073</v>
      </c>
      <c r="G173" s="9">
        <f t="shared" si="120"/>
        <v>-0.32041063752348542</v>
      </c>
      <c r="H173" s="68">
        <f>SUM(H90:H101)</f>
        <v>4185400</v>
      </c>
      <c r="I173" s="9">
        <f t="shared" si="121"/>
        <v>2.6739279756647916E-2</v>
      </c>
      <c r="J173" s="68">
        <f>SUM(J90:J101)</f>
        <v>242902</v>
      </c>
      <c r="K173" s="9">
        <f t="shared" si="122"/>
        <v>0.11987496599831249</v>
      </c>
      <c r="L173" s="68">
        <f>SUM(L90:L101)</f>
        <v>1020996</v>
      </c>
      <c r="M173" s="9">
        <f t="shared" si="126"/>
        <v>0.1458681247643161</v>
      </c>
      <c r="N173" s="68">
        <f>SUM(N90:N101)</f>
        <v>1006283</v>
      </c>
      <c r="O173" s="9">
        <f t="shared" si="123"/>
        <v>0.24935035911825132</v>
      </c>
      <c r="P173" s="68">
        <v>536408</v>
      </c>
      <c r="Q173" s="9">
        <f t="shared" si="129"/>
        <v>8.1681461256458032E-2</v>
      </c>
      <c r="R173" s="68">
        <f>SUM(R90:R101)</f>
        <v>398807</v>
      </c>
      <c r="S173" s="9">
        <f t="shared" si="127"/>
        <v>0.2020659014733186</v>
      </c>
      <c r="T173" s="68">
        <f>SUM(T90:T101)</f>
        <v>414879</v>
      </c>
      <c r="U173" s="9">
        <f t="shared" si="130"/>
        <v>0.15047626970591899</v>
      </c>
      <c r="V173" s="68">
        <f>SUM(V90:V101)</f>
        <v>5485</v>
      </c>
      <c r="W173" s="9">
        <f>V173/V172-1</f>
        <v>0.23926796204247625</v>
      </c>
      <c r="X173" s="68">
        <f>SUM(X90:X101)</f>
        <v>925204</v>
      </c>
      <c r="Y173" s="122">
        <f>X173/SUM(X78:X89)-1</f>
        <v>0.24922565087183468</v>
      </c>
      <c r="Z173" s="68">
        <f>SUM(Z90:Z101)</f>
        <v>342810</v>
      </c>
      <c r="AA173" s="101">
        <f t="shared" si="138"/>
        <v>0.18331941098093907</v>
      </c>
      <c r="AB173" s="68">
        <v>320596</v>
      </c>
      <c r="AC173" s="9">
        <f t="shared" si="128"/>
        <v>8.2875092886577129E-2</v>
      </c>
      <c r="AD173" s="68">
        <f>SUM(AD90:AD101)</f>
        <v>263428</v>
      </c>
      <c r="AE173" s="9">
        <f t="shared" si="131"/>
        <v>-2.3631708905821336E-3</v>
      </c>
      <c r="AF173" s="100">
        <f>SUM(AF90:AF101)</f>
        <v>31800</v>
      </c>
      <c r="AG173" s="9">
        <f t="shared" si="132"/>
        <v>-0.16971279373368142</v>
      </c>
      <c r="AH173" s="68">
        <f>SUM(AH90:AH101)</f>
        <v>149943</v>
      </c>
      <c r="AI173" s="9">
        <f>AH173/AH172-1</f>
        <v>0.21593480111908536</v>
      </c>
      <c r="AJ173" s="11">
        <f>SUM(AJ90:AJ101)</f>
        <v>43994</v>
      </c>
      <c r="AK173" s="9">
        <f t="shared" si="135"/>
        <v>4.1746584262745356E-2</v>
      </c>
      <c r="AL173" s="68">
        <f>SUM(AL90:AL101)</f>
        <v>25285</v>
      </c>
      <c r="AM173" s="37">
        <f>AL173/AL172-1</f>
        <v>1.9227668494034234E-2</v>
      </c>
      <c r="AN173" s="100">
        <f>SUM(AN90:AN101)</f>
        <v>22524</v>
      </c>
      <c r="AO173" s="9">
        <f t="shared" si="139"/>
        <v>0.18985736925515062</v>
      </c>
      <c r="AP173" s="11">
        <v>108680</v>
      </c>
      <c r="AQ173" s="9">
        <f t="shared" si="124"/>
        <v>0.13697469321141997</v>
      </c>
      <c r="AR173" s="68">
        <f>SUM(AR90:AR101)</f>
        <v>290</v>
      </c>
      <c r="AS173" s="9">
        <f>AR173/AR172-1</f>
        <v>1.0279720279720279</v>
      </c>
      <c r="AT173" s="100">
        <v>407</v>
      </c>
      <c r="AU173" s="9">
        <f t="shared" si="133"/>
        <v>1.2362637362637363</v>
      </c>
      <c r="AV173" s="68">
        <v>18683</v>
      </c>
      <c r="AW173" s="9">
        <f t="shared" si="136"/>
        <v>-7.9647427388095382E-3</v>
      </c>
      <c r="AX173" s="68">
        <v>34707</v>
      </c>
      <c r="AY173" s="9">
        <f t="shared" si="134"/>
        <v>0.27076010544815476</v>
      </c>
      <c r="AZ173" s="68">
        <f>SUM(AZ90:AZ101)</f>
        <v>17495</v>
      </c>
      <c r="BA173" s="9">
        <f t="shared" si="137"/>
        <v>0.15470926011484387</v>
      </c>
      <c r="BB173" s="100" t="s">
        <v>17</v>
      </c>
      <c r="BC173" s="99" t="s">
        <v>17</v>
      </c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</row>
    <row r="174" spans="1:68" ht="16.5" customHeight="1">
      <c r="A174" s="14" t="s">
        <v>165</v>
      </c>
      <c r="B174" s="62" t="s">
        <v>161</v>
      </c>
      <c r="C174" s="5">
        <f>SUM(C102:C113)</f>
        <v>13736976</v>
      </c>
      <c r="D174" s="9">
        <f>C174/SUM(C90:C101)-1</f>
        <v>8.2185673828179651E-2</v>
      </c>
      <c r="E174" s="178"/>
      <c r="F174" s="5">
        <f>SUM(F102:F113)</f>
        <v>2042775</v>
      </c>
      <c r="G174" s="9">
        <f t="shared" si="120"/>
        <v>0.23201752878190529</v>
      </c>
      <c r="H174" s="5">
        <v>4069900</v>
      </c>
      <c r="I174" s="9">
        <f t="shared" si="121"/>
        <v>-2.7595928704544415E-2</v>
      </c>
      <c r="J174" s="5">
        <f>SUM(J102:J113)</f>
        <v>259089</v>
      </c>
      <c r="K174" s="9">
        <f t="shared" si="122"/>
        <v>6.6640044133024823E-2</v>
      </c>
      <c r="L174" s="5">
        <f>SUM(L102:L113)</f>
        <v>1078458</v>
      </c>
      <c r="M174" s="9">
        <f t="shared" si="126"/>
        <v>5.6280338022871801E-2</v>
      </c>
      <c r="N174" s="5">
        <f>SUM(N102:N113)</f>
        <v>1163619</v>
      </c>
      <c r="O174" s="9">
        <f t="shared" si="123"/>
        <v>0.15635363014181891</v>
      </c>
      <c r="P174" s="5">
        <f>SUM(P102:P113)</f>
        <v>700917</v>
      </c>
      <c r="Q174" s="9">
        <f t="shared" si="129"/>
        <v>0.30668632831725096</v>
      </c>
      <c r="R174" s="5">
        <f>SUM(R102:R113)</f>
        <v>444773</v>
      </c>
      <c r="S174" s="9">
        <f>R174/R173-1</f>
        <v>0.11525875924946161</v>
      </c>
      <c r="T174" s="5">
        <f>SUM(T102:T113)</f>
        <v>445157</v>
      </c>
      <c r="U174" s="9">
        <f>T174/T173-1</f>
        <v>7.2980314742370656E-2</v>
      </c>
      <c r="V174" s="5">
        <f>SUM(V102:V113)</f>
        <v>7838</v>
      </c>
      <c r="W174" s="9">
        <f>V174/SUM(V90:V101)-1</f>
        <v>0.42898814949863273</v>
      </c>
      <c r="X174" s="5">
        <f>SUM(X102:X113)</f>
        <v>1031155</v>
      </c>
      <c r="Y174" s="9">
        <f>X174/X173-1</f>
        <v>0.11451636612033678</v>
      </c>
      <c r="Z174" s="5">
        <f>SUM(Z102:Z113)</f>
        <v>411491</v>
      </c>
      <c r="AA174" s="101">
        <f t="shared" si="138"/>
        <v>0.20034713106385471</v>
      </c>
      <c r="AB174" s="5">
        <v>328989</v>
      </c>
      <c r="AC174" s="9">
        <f t="shared" si="128"/>
        <v>2.6179365930953491E-2</v>
      </c>
      <c r="AD174" s="5">
        <f>SUM(AD102:AD113)</f>
        <v>283977</v>
      </c>
      <c r="AE174" s="9">
        <f t="shared" si="131"/>
        <v>7.8006134503545654E-2</v>
      </c>
      <c r="AF174" s="100">
        <f>SUM(AF102:AF113)</f>
        <v>32200</v>
      </c>
      <c r="AG174" s="9">
        <f>AF174/SUM(AF90:AF101)-1</f>
        <v>1.2578616352201255E-2</v>
      </c>
      <c r="AH174" s="5">
        <f>SUM(AH102:AH113)</f>
        <v>159084</v>
      </c>
      <c r="AI174" s="9">
        <f>AH174/AH173-1</f>
        <v>6.096316600308116E-2</v>
      </c>
      <c r="AJ174" s="11">
        <f>SUM(AJ102:AJ113)</f>
        <v>44360</v>
      </c>
      <c r="AK174" s="9">
        <f>AJ174/SUM(AJ90:AJ101)-1</f>
        <v>8.3193162704005008E-3</v>
      </c>
      <c r="AL174" s="5">
        <f>SUM(AL102:AL113)</f>
        <v>23933</v>
      </c>
      <c r="AM174" s="37">
        <f>AL174/SUM(AL90:AL101)-1</f>
        <v>-5.347043701799481E-2</v>
      </c>
      <c r="AN174" s="100">
        <f>SUM(AN102:AN113)</f>
        <v>34805</v>
      </c>
      <c r="AO174" s="9">
        <f t="shared" si="139"/>
        <v>0.54524063221452668</v>
      </c>
      <c r="AP174" s="11">
        <v>109469</v>
      </c>
      <c r="AQ174" s="9">
        <f>AP174/SUM(AP90:AP101)-1</f>
        <v>7.2598454177401628E-3</v>
      </c>
      <c r="AR174" s="5">
        <f>SUM(AR102:AR113)</f>
        <v>81</v>
      </c>
      <c r="AS174" s="9">
        <f>AR174/AR173-1</f>
        <v>-0.72068965517241379</v>
      </c>
      <c r="AT174" s="100">
        <v>630</v>
      </c>
      <c r="AU174" s="9">
        <f t="shared" si="133"/>
        <v>0.54791154791154795</v>
      </c>
      <c r="AV174" s="5">
        <v>14479</v>
      </c>
      <c r="AW174" s="9">
        <f t="shared" si="136"/>
        <v>-0.22501739549322919</v>
      </c>
      <c r="AX174" s="5">
        <v>53829</v>
      </c>
      <c r="AY174" s="9">
        <f>AX174/AX173-1</f>
        <v>0.55095513873282043</v>
      </c>
      <c r="AZ174" s="5">
        <f>SUM(AZ102:AZ113)</f>
        <v>18544</v>
      </c>
      <c r="BA174" s="9">
        <f>AZ174/SUM(AZ90:AZ101)-1</f>
        <v>5.9959988568162315E-2</v>
      </c>
      <c r="BB174" s="100"/>
      <c r="BC174" s="99"/>
    </row>
    <row r="175" spans="1:68" ht="16.5" customHeight="1" thickBot="1">
      <c r="A175" s="14" t="s">
        <v>154</v>
      </c>
      <c r="B175" s="62" t="s">
        <v>161</v>
      </c>
      <c r="C175" s="5">
        <f>SUM(C114:C125)</f>
        <v>14846485</v>
      </c>
      <c r="D175" s="9">
        <f>C175/SUM(C102:C113)-1</f>
        <v>8.0768067149567635E-2</v>
      </c>
      <c r="E175" s="178"/>
      <c r="F175" s="5">
        <f>SUM(F114:F125)</f>
        <v>2456165</v>
      </c>
      <c r="G175" s="9">
        <f>F175/SUM(F102:F113)-1</f>
        <v>0.20236687838846668</v>
      </c>
      <c r="H175" s="5">
        <f>SUM(H114:H125)</f>
        <v>3969000</v>
      </c>
      <c r="I175" s="9">
        <f>H175/SUM(H102:H113)-1</f>
        <v>-2.4767801857585092E-2</v>
      </c>
      <c r="J175" s="5">
        <f>SUM(J114:J125)</f>
        <v>351301</v>
      </c>
      <c r="K175" s="9">
        <f>J175/SUM(J102:J113)-1</f>
        <v>0.3559085873966088</v>
      </c>
      <c r="L175" s="5">
        <f>SUM(L114:L125)</f>
        <v>1083543</v>
      </c>
      <c r="M175" s="9">
        <f>L175/SUM(L102:L113)-1</f>
        <v>4.7150653989307401E-3</v>
      </c>
      <c r="N175" s="5">
        <f>SUM(N114:N125)</f>
        <v>1295342</v>
      </c>
      <c r="O175" s="9">
        <f>N175/SUM(N102:N113)-1</f>
        <v>0.11320114229829525</v>
      </c>
      <c r="P175" s="5">
        <f>SUM(P114:P125)</f>
        <v>748727</v>
      </c>
      <c r="Q175" s="9">
        <f>P175/SUM(P102:P113)-1</f>
        <v>6.8210644056286185E-2</v>
      </c>
      <c r="R175" s="5">
        <f>SUM(R114:R125)</f>
        <v>474269</v>
      </c>
      <c r="S175" s="9">
        <f>R175/SUM(R102:R113)-1</f>
        <v>6.6316975176101023E-2</v>
      </c>
      <c r="T175" s="5">
        <f>SUM(T114:T125)</f>
        <v>471768</v>
      </c>
      <c r="U175" s="9">
        <f>T175/SUM(T102:T113)-1</f>
        <v>5.9778909463402696E-2</v>
      </c>
      <c r="V175" s="5">
        <f>SUM(V114:V125)</f>
        <v>12207</v>
      </c>
      <c r="W175" s="9">
        <f>V175/SUM(V102:V113)-1</f>
        <v>0.55741260525644298</v>
      </c>
      <c r="X175" s="5">
        <f>SUM(X114:X125)</f>
        <v>1165789</v>
      </c>
      <c r="Y175" s="9">
        <f>X175/SUM(X102:X113)-1</f>
        <v>0.13056620973568478</v>
      </c>
      <c r="Z175" s="5">
        <f>SUM(Z114:Z125)</f>
        <v>435009</v>
      </c>
      <c r="AA175" s="101">
        <f>Z175/SUM(Z102:Z113)-1</f>
        <v>5.7153133361361519E-2</v>
      </c>
      <c r="AB175" s="5">
        <v>351154</v>
      </c>
      <c r="AC175" s="9">
        <f>AB175/SUM(AB102:AB113)-1</f>
        <v>0.1556592596493076</v>
      </c>
      <c r="AD175" s="5">
        <f>SUM(AD114:AD125)</f>
        <v>274622</v>
      </c>
      <c r="AE175" s="9">
        <f>AD175/SUM(AD102:AD113)-1</f>
        <v>-3.2942808748595787E-2</v>
      </c>
      <c r="AF175" s="100">
        <f>SUM(AF114:AF125)</f>
        <v>28000</v>
      </c>
      <c r="AG175" s="9">
        <f>AF175/SUM(AF102:AF113)-1</f>
        <v>-0.13043478260869568</v>
      </c>
      <c r="AH175" s="5">
        <f>SUM(AH114:AH125)</f>
        <v>187040</v>
      </c>
      <c r="AI175" s="9">
        <f>AH175/SUM(AH102:AH113)-1</f>
        <v>0.17573106032033392</v>
      </c>
      <c r="AJ175" s="11">
        <f>SUM(AJ114:AJ125)</f>
        <v>45178</v>
      </c>
      <c r="AK175" s="9">
        <f>AJ175/SUM(AJ102:AJ113)-1</f>
        <v>1.8440036068530175E-2</v>
      </c>
      <c r="AL175" s="5">
        <f>SUM(AL114:AL125)</f>
        <v>30306</v>
      </c>
      <c r="AM175" s="37">
        <f>AL175/SUM(AL102:AL113)-1</f>
        <v>0.26628504575272638</v>
      </c>
      <c r="AN175" s="100">
        <f>SUM(AN114:AN125)</f>
        <v>54934</v>
      </c>
      <c r="AO175" s="9">
        <f>AN175/SUM(AN102:AN113)-1</f>
        <v>0.57833644591294364</v>
      </c>
      <c r="AP175" s="11">
        <f>SUM(AP114:AP125)</f>
        <v>112619</v>
      </c>
      <c r="AQ175" s="9">
        <f>AQ114</f>
        <v>2.8775269711059703E-2</v>
      </c>
      <c r="AR175" s="5">
        <f>SUM(AR114:AR125)</f>
        <v>0</v>
      </c>
      <c r="AS175" s="225">
        <f>AR175/AR174-1</f>
        <v>-1</v>
      </c>
      <c r="AT175" s="100">
        <f>SUM(AT114:AT125)</f>
        <v>596</v>
      </c>
      <c r="AU175" s="9">
        <f t="shared" si="133"/>
        <v>-5.3968253968253999E-2</v>
      </c>
      <c r="AV175" s="5">
        <v>14270</v>
      </c>
      <c r="AW175" s="9">
        <f>AV175/SUM(AV102)-1</f>
        <v>-0.21700960219478738</v>
      </c>
      <c r="AX175" s="5">
        <f>SUM(AX114:AX125)</f>
        <v>81799</v>
      </c>
      <c r="AY175" s="269">
        <f>AX175/AX174-1</f>
        <v>0.51960838952980737</v>
      </c>
      <c r="AZ175" s="5">
        <f>SUM(AZ114:AZ125)</f>
        <v>12039</v>
      </c>
      <c r="BA175" s="9">
        <f>AZ175/SUM(AZ102:AZ109)-1</f>
        <v>-6.4786762992309455E-2</v>
      </c>
      <c r="BB175" s="100"/>
      <c r="BC175" s="99"/>
    </row>
    <row r="176" spans="1:68" s="296" customFormat="1" ht="16.5" customHeight="1" thickBot="1">
      <c r="A176" s="104" t="s">
        <v>166</v>
      </c>
      <c r="B176" s="105" t="s">
        <v>161</v>
      </c>
      <c r="C176" s="123">
        <f>SUM(C126:C137)</f>
        <v>16080684</v>
      </c>
      <c r="D176" s="124">
        <f>C176/SUM(C114:C125)-1</f>
        <v>8.3130720840656869E-2</v>
      </c>
      <c r="E176" s="295"/>
      <c r="F176" s="123">
        <f>SUM(F126:F137)</f>
        <v>2755313</v>
      </c>
      <c r="G176" s="124">
        <f>F176/SUM(F114:F125)-1</f>
        <v>0.12179474913126764</v>
      </c>
      <c r="H176" s="123">
        <f>SUM(H126:H137)</f>
        <v>4181800</v>
      </c>
      <c r="I176" s="124">
        <f>H176/SUM(H114:H125)-1</f>
        <v>5.3615520282186857E-2</v>
      </c>
      <c r="J176" s="123">
        <f>SUM(J126:J137)</f>
        <v>527684</v>
      </c>
      <c r="K176" s="124">
        <f>J176/SUM(J114:J125)-1</f>
        <v>0.50208510650410898</v>
      </c>
      <c r="L176" s="123">
        <f>SUM(L126:L137)</f>
        <v>1251047</v>
      </c>
      <c r="M176" s="124">
        <f>L176/SUM(L114:L125)-1</f>
        <v>0.15458915797527184</v>
      </c>
      <c r="N176" s="123">
        <f>SUM(N126:N137)</f>
        <v>1116493</v>
      </c>
      <c r="O176" s="124">
        <f>N176/SUM(N114:N125)-1</f>
        <v>-0.13807087240280946</v>
      </c>
      <c r="P176" s="123">
        <f>SUM(P126:P137)</f>
        <v>832969</v>
      </c>
      <c r="Q176" s="124">
        <f>P176/SUM(P114:P125)-1</f>
        <v>0.11251363981798446</v>
      </c>
      <c r="R176" s="123">
        <f>SUM(R126:R137)</f>
        <v>554521</v>
      </c>
      <c r="S176" s="124">
        <f>R176/SUM(R114:R125)-1</f>
        <v>0.1692119872899136</v>
      </c>
      <c r="T176" s="123">
        <f>SUM(T126:T137)</f>
        <v>536975</v>
      </c>
      <c r="U176" s="124">
        <f>T176/SUM(T114:T125)-1</f>
        <v>0.13821836156755007</v>
      </c>
      <c r="V176" s="123">
        <f>SUM(V126:V137)</f>
        <v>13412</v>
      </c>
      <c r="W176" s="124">
        <f>V176/SUM(V114:V125)-1</f>
        <v>9.8713852707462912E-2</v>
      </c>
      <c r="X176" s="123">
        <f>SUM(X126:X137)</f>
        <v>1175472</v>
      </c>
      <c r="Y176" s="124">
        <f>X176/SUM(X114:X125)-1</f>
        <v>8.3059627428290206E-3</v>
      </c>
      <c r="Z176" s="123">
        <f>SUM(Z126:Z137)</f>
        <v>424424</v>
      </c>
      <c r="AA176" s="124">
        <f>Z176/SUM(Z114:Z125)-1</f>
        <v>-2.4332829895473473E-2</v>
      </c>
      <c r="AB176" s="123">
        <v>352004.33350799058</v>
      </c>
      <c r="AC176" s="124">
        <f>AB176/SUM(AB114:AB125)-1</f>
        <v>8.4558582413084116E-2</v>
      </c>
      <c r="AD176" s="123">
        <f>SUM(AD126:AD137)</f>
        <v>385769</v>
      </c>
      <c r="AE176" s="124">
        <f>AD176/SUM(AD114:AD125)-1</f>
        <v>0.40472722505844394</v>
      </c>
      <c r="AF176" s="123">
        <f>SUM(AF126:AF137)</f>
        <v>21700</v>
      </c>
      <c r="AG176" s="124">
        <f>AF176/SUM(AF114:AF125)-1</f>
        <v>-0.22499999999999998</v>
      </c>
      <c r="AH176" s="123">
        <f>SUM(AH126:AH137)</f>
        <v>248654</v>
      </c>
      <c r="AI176" s="124">
        <f>AH176/SUM(AH114:AH125)-1</f>
        <v>0.32941616766467074</v>
      </c>
      <c r="AJ176" s="123">
        <f>SUM(AJ126:AJ137)</f>
        <v>45476</v>
      </c>
      <c r="AK176" s="124">
        <f>AJ176/SUM(AJ114:AJ125)-1</f>
        <v>6.5961308601532043E-3</v>
      </c>
      <c r="AL176" s="123">
        <f>SUM(AL126:AL137)</f>
        <v>34896</v>
      </c>
      <c r="AM176" s="244">
        <f>AL176/SUM(AL114:AL125)-1</f>
        <v>0.15145515739457527</v>
      </c>
      <c r="AN176" s="123">
        <f>SUM(AN126:AN137)</f>
        <v>58472</v>
      </c>
      <c r="AO176" s="124">
        <f>AO126</f>
        <v>6.4404558197109329E-2</v>
      </c>
      <c r="AP176" s="123">
        <v>106870</v>
      </c>
      <c r="AQ176" s="124">
        <f>AQ126</f>
        <v>-5.1048224544703813E-2</v>
      </c>
      <c r="AR176" s="123">
        <f>SUM(AR126:AR137)</f>
        <v>77</v>
      </c>
      <c r="AS176" s="214" t="str">
        <f>IFERROR(AR176/AR175-1,"-")</f>
        <v>-</v>
      </c>
      <c r="AT176" s="123">
        <f>SUM(AT126:AT137)</f>
        <v>858</v>
      </c>
      <c r="AU176" s="124">
        <f t="shared" si="133"/>
        <v>0.43959731543624159</v>
      </c>
      <c r="AV176" s="123">
        <f>SUM(AV126:AV137)</f>
        <v>15366</v>
      </c>
      <c r="AW176" s="124">
        <f>AV176/SUM(AV114)-1</f>
        <v>-0.17754108012631808</v>
      </c>
      <c r="AX176" s="123">
        <f>SUM(AX126:AX137)</f>
        <v>96085</v>
      </c>
      <c r="AY176" s="124">
        <f>AX176/AX175-1</f>
        <v>0.17464761182899546</v>
      </c>
      <c r="AZ176" s="123">
        <f>SUM(AZ126:AZ137)</f>
        <v>11475</v>
      </c>
      <c r="BA176" s="124">
        <f>AZ176/SUM(AZ114:AZ125)-1</f>
        <v>-4.684774482930476E-2</v>
      </c>
      <c r="BB176" s="123"/>
      <c r="BC176" s="124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</row>
    <row r="177" spans="1:55" ht="16.5" customHeight="1" thickBot="1">
      <c r="A177" s="104" t="s">
        <v>167</v>
      </c>
      <c r="B177" s="105" t="s">
        <v>161</v>
      </c>
      <c r="C177" s="123">
        <f>SUM(C138:C149)</f>
        <v>19310430</v>
      </c>
      <c r="D177" s="124">
        <f>C177/C176-1</f>
        <v>0.20084630728394393</v>
      </c>
      <c r="E177" s="178"/>
      <c r="F177" s="123">
        <f>SUM(F138:F149)</f>
        <v>4002052</v>
      </c>
      <c r="G177" s="124">
        <f>F177/F176-1</f>
        <v>0.45248543450417422</v>
      </c>
      <c r="H177" s="123">
        <f>SUM(H138:H149)</f>
        <v>4444400</v>
      </c>
      <c r="I177" s="124">
        <f>H177/H176-1</f>
        <v>6.2795925199674807E-2</v>
      </c>
      <c r="J177" s="123">
        <f>SUM(J138:J149)</f>
        <v>658757</v>
      </c>
      <c r="K177" s="124">
        <f>J177/J176-1</f>
        <v>0.24839297761539103</v>
      </c>
      <c r="L177" s="123">
        <f>SUM(L138:L149)</f>
        <v>1243293</v>
      </c>
      <c r="M177" s="124">
        <f>L177/L176-1</f>
        <v>-6.1980085480402014E-3</v>
      </c>
      <c r="N177" s="123">
        <f>SUM(N138:N149)</f>
        <v>1372989</v>
      </c>
      <c r="O177" s="124">
        <f>N177/N176-1</f>
        <v>0.22973363917194289</v>
      </c>
      <c r="P177" s="123">
        <f>SUM(P138:P149)</f>
        <v>1152349</v>
      </c>
      <c r="Q177" s="124">
        <f>P177/P176-1</f>
        <v>0.38342363281226555</v>
      </c>
      <c r="R177" s="123">
        <f>SUM(R138:R149)</f>
        <v>554144</v>
      </c>
      <c r="S177" s="124">
        <f>R177/R176-1</f>
        <v>-6.7986604655190241E-4</v>
      </c>
      <c r="T177" s="123">
        <f>SUM(T138:T149)</f>
        <v>577082</v>
      </c>
      <c r="U177" s="124">
        <f>T177/T176-1</f>
        <v>7.4690628055309904E-2</v>
      </c>
      <c r="V177" s="123">
        <f>SUM(V138:V149)</f>
        <v>14373</v>
      </c>
      <c r="W177" s="124">
        <f>V177/V176-1</f>
        <v>7.1652251714882098E-2</v>
      </c>
      <c r="X177" s="123">
        <f>SUM(X138:X149)</f>
        <v>1339678</v>
      </c>
      <c r="Y177" s="124">
        <f>X177/SUM(X126:X137)-1</f>
        <v>0.13969367198878402</v>
      </c>
      <c r="Z177" s="123">
        <f>SUM(Z138:Z149)</f>
        <v>395259</v>
      </c>
      <c r="AA177" s="124">
        <f>Z177/Z176-1</f>
        <v>-6.8716660697792808E-2</v>
      </c>
      <c r="AB177" s="123">
        <v>375586.34278817137</v>
      </c>
      <c r="AC177" s="124">
        <f>AB177/SUM(AB126:AB132)-1</f>
        <v>0.9602832116628115</v>
      </c>
      <c r="AD177" s="123">
        <f>SUM(AD138:AD149)</f>
        <v>421161</v>
      </c>
      <c r="AE177" s="124">
        <f>AD177/SUM(AD126:AD137)-1</f>
        <v>9.1744022977481299E-2</v>
      </c>
      <c r="AF177" s="123">
        <f>SUM(AF138:AF149)</f>
        <v>22600</v>
      </c>
      <c r="AG177" s="124">
        <f>AF177/AF176-1</f>
        <v>4.1474654377880116E-2</v>
      </c>
      <c r="AH177" s="123">
        <f>SUM(AH138:AH149)</f>
        <v>222580</v>
      </c>
      <c r="AI177" s="124">
        <f>AH177/AH176-1</f>
        <v>-0.10486056930513887</v>
      </c>
      <c r="AJ177" s="123">
        <f>SUM(AJ138:AJ149)</f>
        <v>47213</v>
      </c>
      <c r="AK177" s="124">
        <f>AJ177/AJ176-1</f>
        <v>3.8195971501451265E-2</v>
      </c>
      <c r="AL177" s="123">
        <f>SUM(AL138:AL149)</f>
        <v>33001</v>
      </c>
      <c r="AM177" s="124">
        <f>AL177/AL176-1</f>
        <v>-5.4304218248509839E-2</v>
      </c>
      <c r="AN177" s="123">
        <f>SUM(AN138:AN149)</f>
        <v>63715</v>
      </c>
      <c r="AO177" s="124">
        <f>AN177/AN176-1</f>
        <v>8.966684909016287E-2</v>
      </c>
      <c r="AP177" s="123">
        <v>102993</v>
      </c>
      <c r="AQ177" s="124">
        <f>AQ138</f>
        <v>-3.6277720595115581E-2</v>
      </c>
      <c r="AR177" s="123">
        <f>SUM(AR138:AR149)</f>
        <v>38</v>
      </c>
      <c r="AS177" s="124">
        <f>AR177/AR176-1</f>
        <v>-0.50649350649350655</v>
      </c>
      <c r="AT177" s="123">
        <f>SUM(AT138:AT149)</f>
        <v>640</v>
      </c>
      <c r="AU177" s="124">
        <f t="shared" si="133"/>
        <v>-0.25407925407925402</v>
      </c>
      <c r="AV177" s="123">
        <f>SUM(AV138:AV149)</f>
        <v>11521</v>
      </c>
      <c r="AW177" s="124">
        <f>AV177/AV176-1</f>
        <v>-0.2502277756084863</v>
      </c>
      <c r="AX177" s="123">
        <v>165328</v>
      </c>
      <c r="AY177" s="124">
        <f>AX177/AX176-1</f>
        <v>0.7206431805172504</v>
      </c>
      <c r="AZ177" s="123">
        <f>SUM(AZ138:AZ149)</f>
        <v>18112</v>
      </c>
      <c r="BA177" s="214">
        <f>AZ177/AZ176-1</f>
        <v>0.57838779956427011</v>
      </c>
      <c r="BB177" s="123"/>
      <c r="BC177" s="124"/>
    </row>
    <row r="178" spans="1:55" ht="16.5" customHeight="1" thickBot="1">
      <c r="A178" s="104" t="s">
        <v>219</v>
      </c>
      <c r="B178" s="105" t="s">
        <v>222</v>
      </c>
      <c r="C178" s="123">
        <f>SUM(C150:C161)</f>
        <v>22383190</v>
      </c>
      <c r="D178" s="124">
        <f>C178/SUM(C138:C149)-1</f>
        <v>0.15912436957644127</v>
      </c>
      <c r="E178" s="178"/>
      <c r="F178" s="123">
        <f>IFERROR(SUM(F150:F161),"-")</f>
        <v>5090515</v>
      </c>
      <c r="G178" s="124">
        <f>IFERROR(F178/SUM(F138:F149)-1,"-")</f>
        <v>0.27197622619596151</v>
      </c>
      <c r="H178" s="123">
        <f>IFERROR(SUM(H150:H161),"-")</f>
        <v>698100</v>
      </c>
      <c r="I178" s="124">
        <f>IFERROR(H178/SUM(H138:H139)-1,"-")</f>
        <v>7.7481092761228609E-2</v>
      </c>
      <c r="J178" s="123">
        <f>IFERROR(SUM(J150:J161),"-")</f>
        <v>882030</v>
      </c>
      <c r="K178" s="124">
        <f>IFERROR(J178/SUM(J138:J149)-1,"-")</f>
        <v>0.33893074380993293</v>
      </c>
      <c r="L178" s="123">
        <f>IFERROR(SUM(L150:L161),"-")</f>
        <v>1392367</v>
      </c>
      <c r="M178" s="124">
        <f>IFERROR(L178/SUM(L138:L149)-1,"-")</f>
        <v>0.11990254911754517</v>
      </c>
      <c r="N178" s="123">
        <f>IFERROR(SUM(N150:N161),"-")</f>
        <v>1464218</v>
      </c>
      <c r="O178" s="124">
        <f>IFERROR(N178/SUM(N138:N149)-1,"-")</f>
        <v>6.6445543263638607E-2</v>
      </c>
      <c r="P178" s="123">
        <f>IFERROR(SUM(P150:P161),"-")</f>
        <v>1543883</v>
      </c>
      <c r="Q178" s="124">
        <f>IFERROR(P178/SUM(P138:P149)-1,"-")</f>
        <v>0.33977032999551349</v>
      </c>
      <c r="R178" s="123">
        <f>IFERROR(SUM(R150:R161),"-")</f>
        <v>662264</v>
      </c>
      <c r="S178" s="124">
        <f>IFERROR(R178/SUM(R138:R149)-1,"-")</f>
        <v>0.19511173990876007</v>
      </c>
      <c r="T178" s="123">
        <f>IFERROR(SUM(T150:T161),"-")</f>
        <v>527877</v>
      </c>
      <c r="U178" s="124">
        <f>IFERROR(T178/SUM(T138:T148)-1,"-")</f>
        <v>-8.2365606347262199E-3</v>
      </c>
      <c r="V178" s="123">
        <f>IFERROR(SUM(V150:V161),"-")</f>
        <v>14520</v>
      </c>
      <c r="W178" s="124">
        <f>IFERROR(V178/SUM(V138:V149)-1,"-")</f>
        <v>1.0227509914422894E-2</v>
      </c>
      <c r="X178" s="123">
        <f>IFERROR(SUM(X150:X161),"-")</f>
        <v>1204154</v>
      </c>
      <c r="Y178" s="124">
        <f>IFERROR(X178/SUM(X138:X147)-1,"-")</f>
        <v>9.5490141849649657E-2</v>
      </c>
      <c r="Z178" s="123">
        <f>IFERROR(SUM(Z150:Z161),"-")</f>
        <v>315553</v>
      </c>
      <c r="AA178" s="124">
        <f>IFERROR(Z178/SUM(Z138:Z148)-1,"-")</f>
        <v>-0.10482942134318285</v>
      </c>
      <c r="AB178" s="123">
        <f>IFERROR(SUM(AB150:AB161),"-")</f>
        <v>263265</v>
      </c>
      <c r="AC178" s="124">
        <f>IFERROR(AB178/SUM(AB138:AB146)-1,"-")</f>
        <v>-2.0507445341966246E-4</v>
      </c>
      <c r="AD178" s="123">
        <f>IFERROR(SUM(AD150:AD161),"-")</f>
        <v>368159</v>
      </c>
      <c r="AE178" s="124">
        <f>IFERROR(AD178/SUM(AD138:AD147)-1,"-")</f>
        <v>7.0142546536909878E-2</v>
      </c>
      <c r="AF178" s="123"/>
      <c r="AG178" s="124"/>
      <c r="AH178" s="123">
        <f>IFERROR(SUM(AH150:AH161),"-")</f>
        <v>106904</v>
      </c>
      <c r="AI178" s="124">
        <f>IFERROR(AH178/SUM(AH138:AH149)-1,"-")</f>
        <v>-0.51970527450804205</v>
      </c>
      <c r="AJ178" s="123">
        <f>IFERROR(SUM(AJ150:AJ161),"-")</f>
        <v>57587</v>
      </c>
      <c r="AK178" s="124">
        <f>IFERROR(AJ178/SUM(AJ138:AJ149)-1,"-")</f>
        <v>0.21972761739351454</v>
      </c>
      <c r="AL178" s="123">
        <f>IFERROR(SUM(AL150:AL161),"-")</f>
        <v>29580</v>
      </c>
      <c r="AM178" s="124">
        <f>IFERROR(AL178/SUM(AL138:AL149)-1,"-")</f>
        <v>-0.10366352534771672</v>
      </c>
      <c r="AN178" s="123"/>
      <c r="AO178" s="124"/>
      <c r="AP178" s="123"/>
      <c r="AQ178" s="124"/>
      <c r="AR178" s="123">
        <f>IFERROR(SUM(AR150:AR161),"-")</f>
        <v>167</v>
      </c>
      <c r="AS178" s="124">
        <f>IFERROR(AR178/SUM(AR138:AR149)-1,"-")</f>
        <v>3.3947368421052628</v>
      </c>
      <c r="AT178" s="123"/>
      <c r="AU178" s="124"/>
      <c r="AV178" s="123"/>
      <c r="AW178" s="124"/>
      <c r="AX178" s="123"/>
      <c r="AY178" s="124"/>
      <c r="AZ178" s="123"/>
      <c r="BA178" s="124"/>
      <c r="BB178" s="123"/>
      <c r="BC178" s="124"/>
    </row>
    <row r="179" spans="1:55">
      <c r="Q179" s="160"/>
      <c r="W179" s="164"/>
    </row>
    <row r="180" spans="1:55">
      <c r="F180" s="160"/>
      <c r="H180" s="165"/>
      <c r="P180" s="160"/>
      <c r="Q180" s="160"/>
      <c r="X180" s="160"/>
      <c r="Z180" s="160"/>
      <c r="AD180" s="160"/>
      <c r="AL180" s="160"/>
    </row>
    <row r="181" spans="1:55">
      <c r="F181" s="160"/>
      <c r="H181" s="165"/>
      <c r="P181" s="160"/>
      <c r="W181" s="160"/>
      <c r="Z181" s="160"/>
      <c r="AK181" s="164"/>
    </row>
    <row r="182" spans="1:55">
      <c r="F182" s="160"/>
      <c r="Z182" s="160"/>
      <c r="AB182" s="160"/>
      <c r="AJ182" s="160"/>
    </row>
    <row r="183" spans="1:55">
      <c r="T183" s="166"/>
      <c r="U183" s="166"/>
      <c r="Z183" s="166"/>
      <c r="AA183" s="166"/>
      <c r="AB183"/>
      <c r="AC183" s="166"/>
      <c r="AJ183" s="166"/>
      <c r="AK183" s="166"/>
      <c r="AN183" s="166"/>
      <c r="AO183" s="166"/>
      <c r="AP183" s="166"/>
      <c r="AQ183" s="166"/>
    </row>
  </sheetData>
  <mergeCells count="252">
    <mergeCell ref="A150:A161"/>
    <mergeCell ref="A126:A137"/>
    <mergeCell ref="AV126:AV137"/>
    <mergeCell ref="AV138:AV149"/>
    <mergeCell ref="AW138:AW149"/>
    <mergeCell ref="AP126:AP137"/>
    <mergeCell ref="AQ126:AQ137"/>
    <mergeCell ref="AN126:AN137"/>
    <mergeCell ref="AO126:AO137"/>
    <mergeCell ref="AO138:AO149"/>
    <mergeCell ref="A138:A149"/>
    <mergeCell ref="AK141:AK143"/>
    <mergeCell ref="AJ129:AJ131"/>
    <mergeCell ref="AK129:AK131"/>
    <mergeCell ref="AJ141:AJ143"/>
    <mergeCell ref="AJ132:AJ134"/>
    <mergeCell ref="AK132:AK134"/>
    <mergeCell ref="AJ135:AJ137"/>
    <mergeCell ref="AK135:AK137"/>
    <mergeCell ref="AJ126:AJ128"/>
    <mergeCell ref="AK126:AK128"/>
    <mergeCell ref="AK138:AK140"/>
    <mergeCell ref="AN138:AN149"/>
    <mergeCell ref="AJ150:AJ152"/>
    <mergeCell ref="Z81:Z82"/>
    <mergeCell ref="AA83:AA85"/>
    <mergeCell ref="AP3:AQ3"/>
    <mergeCell ref="AX3:AY3"/>
    <mergeCell ref="AR3:AS3"/>
    <mergeCell ref="AT3:AU3"/>
    <mergeCell ref="AQ24:AQ26"/>
    <mergeCell ref="AQ6:AQ8"/>
    <mergeCell ref="AP18:AP20"/>
    <mergeCell ref="AQ15:AQ17"/>
    <mergeCell ref="AQ12:AQ14"/>
    <mergeCell ref="AP21:AP23"/>
    <mergeCell ref="F3:G3"/>
    <mergeCell ref="AK117:AK119"/>
    <mergeCell ref="V3:W3"/>
    <mergeCell ref="AQ9:AQ11"/>
    <mergeCell ref="AV114:AV125"/>
    <mergeCell ref="AV102:AV113"/>
    <mergeCell ref="AP102:AP113"/>
    <mergeCell ref="AT54:AT65"/>
    <mergeCell ref="AV3:AW3"/>
    <mergeCell ref="AQ21:AQ23"/>
    <mergeCell ref="AQ102:AQ113"/>
    <mergeCell ref="AT114:AT125"/>
    <mergeCell ref="AJ120:AJ122"/>
    <mergeCell ref="AQ114:AQ125"/>
    <mergeCell ref="AO118:AO125"/>
    <mergeCell ref="AJ54:AJ59"/>
    <mergeCell ref="AJ48:AJ53"/>
    <mergeCell ref="AJ36:AJ41"/>
    <mergeCell ref="AK42:AK47"/>
    <mergeCell ref="AB3:AC3"/>
    <mergeCell ref="Z3:AA3"/>
    <mergeCell ref="AF3:AG3"/>
    <mergeCell ref="AP75:AP77"/>
    <mergeCell ref="AN3:AO3"/>
    <mergeCell ref="AK114:AK116"/>
    <mergeCell ref="AP78:AP80"/>
    <mergeCell ref="A114:A125"/>
    <mergeCell ref="AK147:AK149"/>
    <mergeCell ref="A1:B1"/>
    <mergeCell ref="A66:A77"/>
    <mergeCell ref="A54:A65"/>
    <mergeCell ref="A42:A53"/>
    <mergeCell ref="A30:A41"/>
    <mergeCell ref="R3:S3"/>
    <mergeCell ref="J3:K3"/>
    <mergeCell ref="C3:D3"/>
    <mergeCell ref="L3:M3"/>
    <mergeCell ref="C2:D2"/>
    <mergeCell ref="T3:U3"/>
    <mergeCell ref="AJ138:AJ140"/>
    <mergeCell ref="A102:A113"/>
    <mergeCell ref="A90:A101"/>
    <mergeCell ref="A78:A89"/>
    <mergeCell ref="F2:G2"/>
    <mergeCell ref="H3:I3"/>
    <mergeCell ref="A2:B5"/>
    <mergeCell ref="A18:A29"/>
    <mergeCell ref="A6:A17"/>
    <mergeCell ref="AW30:AW41"/>
    <mergeCell ref="AP12:AP14"/>
    <mergeCell ref="AJ30:AJ35"/>
    <mergeCell ref="AT90:AT101"/>
    <mergeCell ref="AP51:AP53"/>
    <mergeCell ref="AQ66:AQ68"/>
    <mergeCell ref="AQ57:AQ59"/>
    <mergeCell ref="AV18:AV29"/>
    <mergeCell ref="AV30:AV41"/>
    <mergeCell ref="AV42:AV53"/>
    <mergeCell ref="AQ18:AQ20"/>
    <mergeCell ref="AP39:AP41"/>
    <mergeCell ref="AQ39:AQ41"/>
    <mergeCell ref="AQ45:AQ47"/>
    <mergeCell ref="AQ30:AQ32"/>
    <mergeCell ref="AQ33:AQ35"/>
    <mergeCell ref="AP33:AP35"/>
    <mergeCell ref="AP30:AP32"/>
    <mergeCell ref="AP15:AP17"/>
    <mergeCell ref="AP36:AP38"/>
    <mergeCell ref="AK48:AK53"/>
    <mergeCell ref="AJ87:AJ89"/>
    <mergeCell ref="AP84:AP86"/>
    <mergeCell ref="AQ81:AQ83"/>
    <mergeCell ref="AQ42:AQ44"/>
    <mergeCell ref="AP45:AP47"/>
    <mergeCell ref="AV90:AV101"/>
    <mergeCell ref="AP57:AP59"/>
    <mergeCell ref="AW102:AW113"/>
    <mergeCell ref="AV78:AV89"/>
    <mergeCell ref="AP93:AP95"/>
    <mergeCell ref="AQ96:AQ98"/>
    <mergeCell ref="AP60:AP62"/>
    <mergeCell ref="AQ72:AQ74"/>
    <mergeCell ref="AT102:AT113"/>
    <mergeCell ref="AP63:AP65"/>
    <mergeCell ref="AP54:AP56"/>
    <mergeCell ref="AP42:AP44"/>
    <mergeCell ref="AQ54:AQ56"/>
    <mergeCell ref="AQ99:AQ101"/>
    <mergeCell ref="AQ87:AQ89"/>
    <mergeCell ref="AP96:AP98"/>
    <mergeCell ref="AQ93:AQ95"/>
    <mergeCell ref="AQ90:AQ92"/>
    <mergeCell ref="AW90:AW101"/>
    <mergeCell ref="AP99:AP101"/>
    <mergeCell ref="AP66:AP68"/>
    <mergeCell ref="AP48:AP50"/>
    <mergeCell ref="AA99:AA101"/>
    <mergeCell ref="AK93:AK95"/>
    <mergeCell ref="AK96:AK98"/>
    <mergeCell ref="AW42:AW53"/>
    <mergeCell ref="AW54:AW65"/>
    <mergeCell ref="AK99:AK101"/>
    <mergeCell ref="AP81:AP83"/>
    <mergeCell ref="AP87:AP89"/>
    <mergeCell ref="AP90:AP92"/>
    <mergeCell ref="AK90:AK92"/>
    <mergeCell ref="AQ48:AQ50"/>
    <mergeCell ref="AQ51:AQ53"/>
    <mergeCell ref="AA81:AA82"/>
    <mergeCell ref="AW66:AW77"/>
    <mergeCell ref="AW78:AW89"/>
    <mergeCell ref="AQ84:AQ86"/>
    <mergeCell ref="AQ60:AQ62"/>
    <mergeCell ref="AQ63:AQ65"/>
    <mergeCell ref="AV66:AV77"/>
    <mergeCell ref="AT66:AT77"/>
    <mergeCell ref="AT78:AT89"/>
    <mergeCell ref="AQ69:AQ71"/>
    <mergeCell ref="AV54:AV65"/>
    <mergeCell ref="AP69:AP71"/>
    <mergeCell ref="BB3:BC3"/>
    <mergeCell ref="AJ81:AJ83"/>
    <mergeCell ref="AJ84:AJ86"/>
    <mergeCell ref="AK84:AK86"/>
    <mergeCell ref="AJ66:AJ71"/>
    <mergeCell ref="AJ72:AJ74"/>
    <mergeCell ref="AJ75:AJ77"/>
    <mergeCell ref="AQ75:AQ77"/>
    <mergeCell ref="AQ78:AQ80"/>
    <mergeCell ref="AJ78:AJ80"/>
    <mergeCell ref="AK78:AK83"/>
    <mergeCell ref="AQ36:AQ38"/>
    <mergeCell ref="AQ27:AQ29"/>
    <mergeCell ref="AP27:AP29"/>
    <mergeCell ref="AJ60:AJ65"/>
    <mergeCell ref="AK72:AK77"/>
    <mergeCell ref="AP72:AP74"/>
    <mergeCell ref="AL3:AM3"/>
    <mergeCell ref="AK30:AK35"/>
    <mergeCell ref="AP9:AP11"/>
    <mergeCell ref="AP24:AP26"/>
    <mergeCell ref="AJ3:AK3"/>
    <mergeCell ref="AP6:AP8"/>
    <mergeCell ref="AZ3:BA3"/>
    <mergeCell ref="Z90:Z96"/>
    <mergeCell ref="AW114:AW125"/>
    <mergeCell ref="AJ114:AJ116"/>
    <mergeCell ref="Z102:Z108"/>
    <mergeCell ref="AJ105:AJ107"/>
    <mergeCell ref="AJ111:AJ113"/>
    <mergeCell ref="C1:K1"/>
    <mergeCell ref="AK36:AK41"/>
    <mergeCell ref="AK54:AK59"/>
    <mergeCell ref="AK60:AK65"/>
    <mergeCell ref="AJ42:AJ47"/>
    <mergeCell ref="AD3:AE3"/>
    <mergeCell ref="P3:Q3"/>
    <mergeCell ref="N3:O3"/>
    <mergeCell ref="AH3:AI3"/>
    <mergeCell ref="X3:Y3"/>
    <mergeCell ref="AJ96:AJ98"/>
    <mergeCell ref="AJ90:AJ92"/>
    <mergeCell ref="Z87:Z89"/>
    <mergeCell ref="Z78:Z80"/>
    <mergeCell ref="AA78:AA80"/>
    <mergeCell ref="AA87:AA89"/>
    <mergeCell ref="AA90:AA96"/>
    <mergeCell ref="Z83:Z85"/>
    <mergeCell ref="AX126:AX137"/>
    <mergeCell ref="AY126:AY137"/>
    <mergeCell ref="AA102:AA108"/>
    <mergeCell ref="AT126:AT137"/>
    <mergeCell ref="AX138:AX149"/>
    <mergeCell ref="AY138:AY149"/>
    <mergeCell ref="AW126:AW137"/>
    <mergeCell ref="AX102:AX113"/>
    <mergeCell ref="AJ108:AJ110"/>
    <mergeCell ref="AK108:AK110"/>
    <mergeCell ref="AJ123:AJ125"/>
    <mergeCell ref="AY114:AY125"/>
    <mergeCell ref="AY102:AY113"/>
    <mergeCell ref="AX114:AX125"/>
    <mergeCell ref="AA114:AA120"/>
    <mergeCell ref="AJ147:AJ149"/>
    <mergeCell ref="AJ144:AJ146"/>
    <mergeCell ref="AK144:AK146"/>
    <mergeCell ref="AN118:AN125"/>
    <mergeCell ref="AP114:AP125"/>
    <mergeCell ref="AK120:AK122"/>
    <mergeCell ref="AK102:AK104"/>
    <mergeCell ref="AK105:AK107"/>
    <mergeCell ref="AK123:AK125"/>
    <mergeCell ref="AJ159:AJ161"/>
    <mergeCell ref="AK159:AK161"/>
    <mergeCell ref="AP138:AP149"/>
    <mergeCell ref="AQ138:AQ149"/>
    <mergeCell ref="AT138:AT149"/>
    <mergeCell ref="AU66:AU77"/>
    <mergeCell ref="AU78:AU89"/>
    <mergeCell ref="AU90:AU101"/>
    <mergeCell ref="AU102:AU113"/>
    <mergeCell ref="AU114:AU125"/>
    <mergeCell ref="AU126:AU137"/>
    <mergeCell ref="AU138:AU149"/>
    <mergeCell ref="AJ153:AJ155"/>
    <mergeCell ref="AJ156:AJ158"/>
    <mergeCell ref="AK153:AK155"/>
    <mergeCell ref="AK156:AK158"/>
    <mergeCell ref="AK150:AK152"/>
    <mergeCell ref="AK66:AK71"/>
    <mergeCell ref="AJ99:AJ101"/>
    <mergeCell ref="AJ93:AJ95"/>
    <mergeCell ref="AK87:AK89"/>
    <mergeCell ref="AK111:AK113"/>
    <mergeCell ref="AJ117:AJ119"/>
    <mergeCell ref="AJ102:AJ104"/>
  </mergeCells>
  <phoneticPr fontId="2" type="noConversion"/>
  <pageMargins left="0.15748031496062992" right="0.15748031496062992" top="0.39370078740157483" bottom="0" header="0.11811023622047245" footer="0"/>
  <pageSetup paperSize="9" scale="60" orientation="landscape" r:id="rId1"/>
  <headerFooter alignWithMargins="0"/>
  <colBreaks count="2" manualBreakCount="2">
    <brk id="29" max="165" man="1"/>
    <brk id="41" max="165" man="1"/>
  </colBreaks>
  <ignoredErrors>
    <ignoredError sqref="V168:W168 AF166 BB171:BC174 F171:F175 BB169 AJ168 AJ166:AK167 C176:D176 V176 AT169:AW170 BC175" formulaRange="1"/>
    <ignoredError sqref="F166:J168 C167:D175 L166:O168 R166:S168 V169:W170 R169:S171 F169:O170 G171:O175 AT171:AW174 AJ169:AK174 V171:W175 R172:S175 AK168 BB170 AF167:AF168 H176:O176 W176 AJ175:AK176 AF169:AG170 AF171:AG175 AF176:AG176 R176:S176 AT175 AV175:AW175" formula="1" formulaRange="1"/>
    <ignoredError sqref="C166:D166 K166:K16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S178"/>
  <sheetViews>
    <sheetView zoomScaleNormal="100" workbookViewId="0">
      <pane xSplit="2" ySplit="5" topLeftCell="C153" activePane="bottomRight" state="frozen"/>
      <selection pane="topRight" activeCell="C1" sqref="C1"/>
      <selection pane="bottomLeft" activeCell="A6" sqref="A6"/>
      <selection pane="bottomRight" activeCell="C178" sqref="C178"/>
    </sheetView>
  </sheetViews>
  <sheetFormatPr defaultRowHeight="13.5"/>
  <cols>
    <col min="1" max="1" width="6.109375" style="159" bestFit="1" customWidth="1"/>
    <col min="2" max="2" width="4.5546875" style="159" bestFit="1" customWidth="1"/>
    <col min="3" max="3" width="9.109375" style="159" bestFit="1" customWidth="1"/>
    <col min="4" max="4" width="7.44140625" style="159" bestFit="1" customWidth="1"/>
    <col min="5" max="5" width="2.5546875" style="159" customWidth="1"/>
    <col min="6" max="19" width="9.109375" style="159" customWidth="1"/>
    <col min="20" max="16384" width="8.88671875" style="159"/>
  </cols>
  <sheetData>
    <row r="1" spans="1:19" s="157" customFormat="1" ht="32.25" thickBot="1">
      <c r="A1" s="460"/>
      <c r="B1" s="460"/>
      <c r="C1" s="434" t="s">
        <v>230</v>
      </c>
      <c r="D1" s="434"/>
      <c r="E1" s="434"/>
      <c r="F1" s="434"/>
      <c r="G1" s="434"/>
      <c r="H1" s="434"/>
      <c r="I1" s="434"/>
      <c r="J1" s="434"/>
      <c r="K1" s="434"/>
      <c r="L1" s="152"/>
      <c r="M1" s="152"/>
      <c r="N1" s="152"/>
      <c r="O1" s="152"/>
      <c r="P1" s="152"/>
      <c r="Q1" s="152"/>
      <c r="R1" s="152"/>
      <c r="S1" s="152"/>
    </row>
    <row r="2" spans="1:19" s="157" customFormat="1" ht="24.75" thickBot="1">
      <c r="A2" s="467"/>
      <c r="B2" s="468"/>
      <c r="C2" s="463" t="s">
        <v>0</v>
      </c>
      <c r="D2" s="464"/>
      <c r="E2" s="178"/>
      <c r="F2" s="465" t="s">
        <v>197</v>
      </c>
      <c r="G2" s="46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</row>
    <row r="3" spans="1:19" s="157" customFormat="1" ht="17.25">
      <c r="A3" s="469"/>
      <c r="B3" s="470"/>
      <c r="C3" s="441" t="s">
        <v>101</v>
      </c>
      <c r="D3" s="442"/>
      <c r="E3" s="178"/>
      <c r="F3" s="441" t="s">
        <v>209</v>
      </c>
      <c r="G3" s="442"/>
      <c r="H3" s="441" t="s">
        <v>210</v>
      </c>
      <c r="I3" s="442"/>
      <c r="J3" s="441" t="s">
        <v>211</v>
      </c>
      <c r="K3" s="442"/>
      <c r="L3" s="441" t="s">
        <v>212</v>
      </c>
      <c r="M3" s="442"/>
      <c r="N3" s="441" t="s">
        <v>213</v>
      </c>
      <c r="O3" s="442"/>
      <c r="P3" s="441" t="s">
        <v>214</v>
      </c>
      <c r="Q3" s="442"/>
      <c r="R3" s="441" t="s">
        <v>215</v>
      </c>
      <c r="S3" s="442"/>
    </row>
    <row r="4" spans="1:19" s="157" customFormat="1">
      <c r="A4" s="469"/>
      <c r="B4" s="470"/>
      <c r="C4" s="106" t="s">
        <v>8</v>
      </c>
      <c r="D4" s="107" t="s">
        <v>9</v>
      </c>
      <c r="E4" s="178"/>
      <c r="F4" s="106" t="s">
        <v>50</v>
      </c>
      <c r="G4" s="107" t="s">
        <v>11</v>
      </c>
      <c r="H4" s="106" t="s">
        <v>50</v>
      </c>
      <c r="I4" s="107" t="s">
        <v>11</v>
      </c>
      <c r="J4" s="106" t="s">
        <v>10</v>
      </c>
      <c r="K4" s="107" t="s">
        <v>9</v>
      </c>
      <c r="L4" s="106" t="s">
        <v>67</v>
      </c>
      <c r="M4" s="107" t="s">
        <v>9</v>
      </c>
      <c r="N4" s="106" t="s">
        <v>50</v>
      </c>
      <c r="O4" s="107" t="s">
        <v>11</v>
      </c>
      <c r="P4" s="106" t="s">
        <v>50</v>
      </c>
      <c r="Q4" s="107" t="s">
        <v>11</v>
      </c>
      <c r="R4" s="106" t="s">
        <v>50</v>
      </c>
      <c r="S4" s="107" t="s">
        <v>11</v>
      </c>
    </row>
    <row r="5" spans="1:19" s="157" customFormat="1" ht="14.25" thickBot="1">
      <c r="A5" s="471"/>
      <c r="B5" s="472"/>
      <c r="C5" s="111" t="s">
        <v>14</v>
      </c>
      <c r="D5" s="112" t="s">
        <v>15</v>
      </c>
      <c r="E5" s="178"/>
      <c r="F5" s="117" t="s">
        <v>14</v>
      </c>
      <c r="G5" s="114" t="s">
        <v>15</v>
      </c>
      <c r="H5" s="117" t="s">
        <v>14</v>
      </c>
      <c r="I5" s="114" t="s">
        <v>15</v>
      </c>
      <c r="J5" s="115" t="s">
        <v>14</v>
      </c>
      <c r="K5" s="116" t="s">
        <v>15</v>
      </c>
      <c r="L5" s="113" t="s">
        <v>14</v>
      </c>
      <c r="M5" s="114" t="s">
        <v>15</v>
      </c>
      <c r="N5" s="117" t="s">
        <v>14</v>
      </c>
      <c r="O5" s="114" t="s">
        <v>15</v>
      </c>
      <c r="P5" s="117" t="s">
        <v>14</v>
      </c>
      <c r="Q5" s="114" t="s">
        <v>15</v>
      </c>
      <c r="R5" s="117" t="s">
        <v>14</v>
      </c>
      <c r="S5" s="114" t="s">
        <v>15</v>
      </c>
    </row>
    <row r="6" spans="1:19" s="157" customFormat="1" ht="13.5" customHeight="1">
      <c r="A6" s="461" t="s">
        <v>34</v>
      </c>
      <c r="B6" s="15" t="s">
        <v>35</v>
      </c>
      <c r="C6" s="3">
        <v>793478</v>
      </c>
      <c r="D6" s="4"/>
      <c r="E6" s="178"/>
      <c r="F6" s="5">
        <v>4</v>
      </c>
      <c r="G6" s="6"/>
      <c r="H6" s="5"/>
      <c r="I6" s="6"/>
      <c r="J6" s="3"/>
      <c r="K6" s="4"/>
      <c r="L6" s="5">
        <v>1582</v>
      </c>
      <c r="M6" s="6"/>
      <c r="N6" s="5"/>
      <c r="O6" s="6"/>
      <c r="P6" s="5"/>
      <c r="Q6" s="6"/>
      <c r="R6" s="5"/>
      <c r="S6" s="6"/>
    </row>
    <row r="7" spans="1:19" s="157" customFormat="1" ht="13.5" customHeight="1">
      <c r="A7" s="461"/>
      <c r="B7" s="15" t="s">
        <v>36</v>
      </c>
      <c r="C7" s="3">
        <v>670447</v>
      </c>
      <c r="D7" s="4"/>
      <c r="E7" s="178"/>
      <c r="F7" s="98" t="s">
        <v>17</v>
      </c>
      <c r="G7" s="6"/>
      <c r="H7" s="5"/>
      <c r="I7" s="6"/>
      <c r="J7" s="3"/>
      <c r="K7" s="4"/>
      <c r="L7" s="5">
        <v>1214</v>
      </c>
      <c r="M7" s="6"/>
      <c r="N7" s="5"/>
      <c r="O7" s="6"/>
      <c r="P7" s="5"/>
      <c r="Q7" s="6"/>
      <c r="R7" s="5"/>
      <c r="S7" s="6"/>
    </row>
    <row r="8" spans="1:19" s="157" customFormat="1" ht="13.5" customHeight="1">
      <c r="A8" s="461"/>
      <c r="B8" s="15" t="s">
        <v>21</v>
      </c>
      <c r="C8" s="3">
        <v>587629</v>
      </c>
      <c r="D8" s="4"/>
      <c r="E8" s="178"/>
      <c r="F8" s="98" t="s">
        <v>17</v>
      </c>
      <c r="G8" s="6"/>
      <c r="H8" s="5"/>
      <c r="I8" s="6"/>
      <c r="J8" s="3"/>
      <c r="K8" s="4"/>
      <c r="L8" s="5">
        <v>883</v>
      </c>
      <c r="M8" s="6"/>
      <c r="N8" s="5"/>
      <c r="O8" s="6"/>
      <c r="P8" s="5"/>
      <c r="Q8" s="6"/>
      <c r="R8" s="5"/>
      <c r="S8" s="6"/>
    </row>
    <row r="9" spans="1:19" s="157" customFormat="1" ht="13.5" customHeight="1">
      <c r="A9" s="461"/>
      <c r="B9" s="15" t="s">
        <v>22</v>
      </c>
      <c r="C9" s="3">
        <v>642413</v>
      </c>
      <c r="D9" s="4"/>
      <c r="E9" s="178"/>
      <c r="F9" s="98" t="s">
        <v>17</v>
      </c>
      <c r="G9" s="6"/>
      <c r="H9" s="5"/>
      <c r="I9" s="6"/>
      <c r="J9" s="3"/>
      <c r="K9" s="4"/>
      <c r="L9" s="5">
        <v>791</v>
      </c>
      <c r="M9" s="6"/>
      <c r="N9" s="5"/>
      <c r="O9" s="6"/>
      <c r="P9" s="5"/>
      <c r="Q9" s="6"/>
      <c r="R9" s="5"/>
      <c r="S9" s="6"/>
    </row>
    <row r="10" spans="1:19" s="157" customFormat="1" ht="13.5" customHeight="1">
      <c r="A10" s="461"/>
      <c r="B10" s="15" t="s">
        <v>23</v>
      </c>
      <c r="C10" s="3">
        <v>680185</v>
      </c>
      <c r="D10" s="4"/>
      <c r="E10" s="178"/>
      <c r="F10" s="5">
        <v>2</v>
      </c>
      <c r="G10" s="6"/>
      <c r="H10" s="5"/>
      <c r="I10" s="6"/>
      <c r="J10" s="3"/>
      <c r="K10" s="4"/>
      <c r="L10" s="5">
        <v>784</v>
      </c>
      <c r="M10" s="6"/>
      <c r="N10" s="5"/>
      <c r="O10" s="6"/>
      <c r="P10" s="5"/>
      <c r="Q10" s="6"/>
      <c r="R10" s="5"/>
      <c r="S10" s="6"/>
    </row>
    <row r="11" spans="1:19" s="157" customFormat="1" ht="13.5" customHeight="1">
      <c r="A11" s="461"/>
      <c r="B11" s="15" t="s">
        <v>24</v>
      </c>
      <c r="C11" s="3">
        <v>712260</v>
      </c>
      <c r="D11" s="4"/>
      <c r="E11" s="178"/>
      <c r="F11" s="98" t="s">
        <v>17</v>
      </c>
      <c r="G11" s="6"/>
      <c r="H11" s="5"/>
      <c r="I11" s="6"/>
      <c r="J11" s="3"/>
      <c r="K11" s="4"/>
      <c r="L11" s="5">
        <v>908</v>
      </c>
      <c r="M11" s="6"/>
      <c r="N11" s="5"/>
      <c r="O11" s="6"/>
      <c r="P11" s="5"/>
      <c r="Q11" s="6"/>
      <c r="R11" s="5"/>
      <c r="S11" s="6"/>
    </row>
    <row r="12" spans="1:19" s="157" customFormat="1" ht="13.5" customHeight="1">
      <c r="A12" s="461"/>
      <c r="B12" s="15" t="s">
        <v>25</v>
      </c>
      <c r="C12" s="3">
        <v>897234</v>
      </c>
      <c r="D12" s="4"/>
      <c r="E12" s="178"/>
      <c r="F12" s="5">
        <v>1</v>
      </c>
      <c r="G12" s="6"/>
      <c r="H12" s="5"/>
      <c r="I12" s="6"/>
      <c r="J12" s="3"/>
      <c r="K12" s="4"/>
      <c r="L12" s="5">
        <v>1490</v>
      </c>
      <c r="M12" s="6"/>
      <c r="N12" s="5"/>
      <c r="O12" s="6"/>
      <c r="P12" s="5"/>
      <c r="Q12" s="6"/>
      <c r="R12" s="5"/>
      <c r="S12" s="6"/>
    </row>
    <row r="13" spans="1:19" s="157" customFormat="1" ht="13.5" customHeight="1">
      <c r="A13" s="461"/>
      <c r="B13" s="15" t="s">
        <v>26</v>
      </c>
      <c r="C13" s="3">
        <v>930573</v>
      </c>
      <c r="D13" s="4"/>
      <c r="E13" s="178"/>
      <c r="F13" s="98" t="s">
        <v>17</v>
      </c>
      <c r="G13" s="6"/>
      <c r="H13" s="5"/>
      <c r="I13" s="6"/>
      <c r="J13" s="3"/>
      <c r="K13" s="4"/>
      <c r="L13" s="5">
        <v>1716</v>
      </c>
      <c r="M13" s="6"/>
      <c r="N13" s="5"/>
      <c r="O13" s="6"/>
      <c r="P13" s="5"/>
      <c r="Q13" s="6"/>
      <c r="R13" s="5"/>
      <c r="S13" s="6"/>
    </row>
    <row r="14" spans="1:19" s="157" customFormat="1" ht="13.5" customHeight="1">
      <c r="A14" s="461"/>
      <c r="B14" s="15" t="s">
        <v>27</v>
      </c>
      <c r="C14" s="3">
        <v>682244</v>
      </c>
      <c r="D14" s="4"/>
      <c r="E14" s="178"/>
      <c r="F14" s="98" t="s">
        <v>17</v>
      </c>
      <c r="G14" s="6"/>
      <c r="H14" s="5"/>
      <c r="I14" s="6"/>
      <c r="J14" s="3"/>
      <c r="K14" s="4"/>
      <c r="L14" s="5">
        <v>987</v>
      </c>
      <c r="M14" s="6"/>
      <c r="N14" s="5"/>
      <c r="O14" s="6"/>
      <c r="P14" s="5"/>
      <c r="Q14" s="6"/>
      <c r="R14" s="5"/>
      <c r="S14" s="6"/>
    </row>
    <row r="15" spans="1:19" s="157" customFormat="1" ht="13.5" customHeight="1">
      <c r="A15" s="461"/>
      <c r="B15" s="15" t="s">
        <v>28</v>
      </c>
      <c r="C15" s="3">
        <v>757538</v>
      </c>
      <c r="D15" s="4"/>
      <c r="E15" s="178"/>
      <c r="F15" s="98" t="s">
        <v>17</v>
      </c>
      <c r="G15" s="6"/>
      <c r="H15" s="5"/>
      <c r="I15" s="6"/>
      <c r="J15" s="3"/>
      <c r="K15" s="4"/>
      <c r="L15" s="5">
        <v>938</v>
      </c>
      <c r="M15" s="6"/>
      <c r="N15" s="5"/>
      <c r="O15" s="6"/>
      <c r="P15" s="5"/>
      <c r="Q15" s="6"/>
      <c r="R15" s="5"/>
      <c r="S15" s="6"/>
    </row>
    <row r="16" spans="1:19" s="157" customFormat="1" ht="13.5" customHeight="1">
      <c r="A16" s="461"/>
      <c r="B16" s="15" t="s">
        <v>29</v>
      </c>
      <c r="C16" s="3">
        <v>745887</v>
      </c>
      <c r="D16" s="4"/>
      <c r="E16" s="178"/>
      <c r="F16" s="5">
        <v>1</v>
      </c>
      <c r="G16" s="6"/>
      <c r="H16" s="5"/>
      <c r="I16" s="6"/>
      <c r="J16" s="3"/>
      <c r="K16" s="4"/>
      <c r="L16" s="5">
        <v>951</v>
      </c>
      <c r="M16" s="6"/>
      <c r="N16" s="5"/>
      <c r="O16" s="6"/>
      <c r="P16" s="5"/>
      <c r="Q16" s="6"/>
      <c r="R16" s="5"/>
      <c r="S16" s="6"/>
    </row>
    <row r="17" spans="1:19" s="157" customFormat="1" ht="13.5" customHeight="1">
      <c r="A17" s="462"/>
      <c r="B17" s="15" t="s">
        <v>30</v>
      </c>
      <c r="C17" s="3">
        <v>725697</v>
      </c>
      <c r="D17" s="4"/>
      <c r="E17" s="178"/>
      <c r="F17" s="5"/>
      <c r="G17" s="6"/>
      <c r="H17" s="5"/>
      <c r="I17" s="6"/>
      <c r="J17" s="3"/>
      <c r="K17" s="4"/>
      <c r="L17" s="5">
        <v>1068</v>
      </c>
      <c r="M17" s="6"/>
      <c r="N17" s="5"/>
      <c r="O17" s="6"/>
      <c r="P17" s="5"/>
      <c r="Q17" s="6"/>
      <c r="R17" s="5"/>
      <c r="S17" s="6"/>
    </row>
    <row r="18" spans="1:19" s="157" customFormat="1" ht="13.5" customHeight="1">
      <c r="A18" s="457" t="s">
        <v>169</v>
      </c>
      <c r="B18" s="2" t="s">
        <v>170</v>
      </c>
      <c r="C18" s="23">
        <v>897406</v>
      </c>
      <c r="D18" s="24">
        <f t="shared" ref="D18:D43" si="0">(C18-C6)/C6</f>
        <v>0.13097779648585089</v>
      </c>
      <c r="E18" s="178"/>
      <c r="F18" s="25">
        <v>6</v>
      </c>
      <c r="G18" s="24">
        <f>(F18/F6-1)</f>
        <v>0.5</v>
      </c>
      <c r="H18" s="25"/>
      <c r="I18" s="26"/>
      <c r="J18" s="23">
        <v>106</v>
      </c>
      <c r="K18" s="24"/>
      <c r="L18" s="25">
        <v>1885</v>
      </c>
      <c r="M18" s="24">
        <f>(L18/L6-1)</f>
        <v>0.19152970922882417</v>
      </c>
      <c r="N18" s="25"/>
      <c r="O18" s="26"/>
      <c r="P18" s="25"/>
      <c r="Q18" s="26"/>
      <c r="R18" s="25"/>
      <c r="S18" s="26"/>
    </row>
    <row r="19" spans="1:19" s="157" customFormat="1" ht="13.5" customHeight="1">
      <c r="A19" s="461"/>
      <c r="B19" s="15" t="s">
        <v>171</v>
      </c>
      <c r="C19" s="3">
        <v>745998</v>
      </c>
      <c r="D19" s="9">
        <f t="shared" si="0"/>
        <v>0.1126875055000619</v>
      </c>
      <c r="E19" s="178"/>
      <c r="F19" s="5">
        <v>4</v>
      </c>
      <c r="G19" s="9"/>
      <c r="H19" s="5"/>
      <c r="I19" s="36"/>
      <c r="J19" s="3">
        <v>42</v>
      </c>
      <c r="K19" s="9"/>
      <c r="L19" s="5">
        <v>1442</v>
      </c>
      <c r="M19" s="9">
        <f>(L19/L7-1)</f>
        <v>0.18780889621087304</v>
      </c>
      <c r="N19" s="5"/>
      <c r="O19" s="36"/>
      <c r="P19" s="5"/>
      <c r="Q19" s="36"/>
      <c r="R19" s="5"/>
      <c r="S19" s="36"/>
    </row>
    <row r="20" spans="1:19" s="157" customFormat="1" ht="13.5" customHeight="1">
      <c r="A20" s="461"/>
      <c r="B20" s="15" t="s">
        <v>21</v>
      </c>
      <c r="C20" s="3">
        <v>707058</v>
      </c>
      <c r="D20" s="9">
        <f t="shared" si="0"/>
        <v>0.20323877820869971</v>
      </c>
      <c r="E20" s="178"/>
      <c r="F20" s="5">
        <v>3</v>
      </c>
      <c r="G20" s="9"/>
      <c r="H20" s="5"/>
      <c r="I20" s="36"/>
      <c r="J20" s="3">
        <v>52</v>
      </c>
      <c r="K20" s="9"/>
      <c r="L20" s="5">
        <v>911</v>
      </c>
      <c r="M20" s="9">
        <f>(L20/L8-1)</f>
        <v>3.1710079275198089E-2</v>
      </c>
      <c r="N20" s="5"/>
      <c r="O20" s="36"/>
      <c r="P20" s="5"/>
      <c r="Q20" s="36"/>
      <c r="R20" s="5"/>
      <c r="S20" s="36"/>
    </row>
    <row r="21" spans="1:19" s="157" customFormat="1" ht="13.5" customHeight="1">
      <c r="A21" s="461"/>
      <c r="B21" s="15" t="s">
        <v>22</v>
      </c>
      <c r="C21" s="3">
        <v>762096</v>
      </c>
      <c r="D21" s="9">
        <f t="shared" si="0"/>
        <v>0.18630226972368244</v>
      </c>
      <c r="E21" s="178"/>
      <c r="F21" s="98" t="s">
        <v>17</v>
      </c>
      <c r="G21" s="9"/>
      <c r="H21" s="5"/>
      <c r="I21" s="36"/>
      <c r="J21" s="3">
        <v>59</v>
      </c>
      <c r="K21" s="9"/>
      <c r="L21" s="5">
        <v>882</v>
      </c>
      <c r="M21" s="9">
        <f>(L21/L9-1)</f>
        <v>0.11504424778761058</v>
      </c>
      <c r="N21" s="5"/>
      <c r="O21" s="36"/>
      <c r="P21" s="5"/>
      <c r="Q21" s="36"/>
      <c r="R21" s="5"/>
      <c r="S21" s="36"/>
    </row>
    <row r="22" spans="1:19" s="157" customFormat="1" ht="13.5" customHeight="1">
      <c r="A22" s="461"/>
      <c r="B22" s="15" t="s">
        <v>23</v>
      </c>
      <c r="C22" s="3">
        <v>802497</v>
      </c>
      <c r="D22" s="9">
        <f t="shared" si="0"/>
        <v>0.17982166616435236</v>
      </c>
      <c r="E22" s="178"/>
      <c r="F22" s="5">
        <v>4</v>
      </c>
      <c r="G22" s="9">
        <v>5.8000000000000003E-2</v>
      </c>
      <c r="H22" s="5"/>
      <c r="I22" s="36"/>
      <c r="J22" s="3">
        <v>92</v>
      </c>
      <c r="K22" s="9"/>
      <c r="L22" s="5">
        <v>841</v>
      </c>
      <c r="M22" s="9">
        <v>5.8000000000000003E-2</v>
      </c>
      <c r="N22" s="5"/>
      <c r="O22" s="36"/>
      <c r="P22" s="5"/>
      <c r="Q22" s="36"/>
      <c r="R22" s="5"/>
      <c r="S22" s="36"/>
    </row>
    <row r="23" spans="1:19" s="157" customFormat="1" ht="13.5" customHeight="1">
      <c r="A23" s="461"/>
      <c r="B23" s="15" t="s">
        <v>24</v>
      </c>
      <c r="C23" s="3">
        <v>865693</v>
      </c>
      <c r="D23" s="9">
        <f t="shared" si="0"/>
        <v>0.21541712296071661</v>
      </c>
      <c r="E23" s="178"/>
      <c r="F23" s="5">
        <v>2</v>
      </c>
      <c r="G23" s="9"/>
      <c r="H23" s="5"/>
      <c r="I23" s="36"/>
      <c r="J23" s="3">
        <v>38</v>
      </c>
      <c r="K23" s="9"/>
      <c r="L23" s="5">
        <v>1120</v>
      </c>
      <c r="M23" s="9">
        <f t="shared" ref="M23:M41" si="1">(L23-L11)/L11</f>
        <v>0.23348017621145375</v>
      </c>
      <c r="N23" s="5"/>
      <c r="O23" s="36"/>
      <c r="P23" s="5"/>
      <c r="Q23" s="36"/>
      <c r="R23" s="5"/>
      <c r="S23" s="36"/>
    </row>
    <row r="24" spans="1:19" s="157" customFormat="1" ht="13.5" customHeight="1">
      <c r="A24" s="461"/>
      <c r="B24" s="15" t="s">
        <v>25</v>
      </c>
      <c r="C24" s="3">
        <v>1020757</v>
      </c>
      <c r="D24" s="9">
        <f t="shared" si="0"/>
        <v>0.13767088630167826</v>
      </c>
      <c r="E24" s="178"/>
      <c r="F24" s="98" t="s">
        <v>17</v>
      </c>
      <c r="G24" s="9"/>
      <c r="H24" s="5"/>
      <c r="I24" s="36"/>
      <c r="J24" s="3">
        <v>65</v>
      </c>
      <c r="K24" s="9"/>
      <c r="L24" s="5">
        <v>1702</v>
      </c>
      <c r="M24" s="9">
        <f t="shared" si="1"/>
        <v>0.14228187919463087</v>
      </c>
      <c r="N24" s="5"/>
      <c r="O24" s="36"/>
      <c r="P24" s="5"/>
      <c r="Q24" s="36"/>
      <c r="R24" s="5"/>
      <c r="S24" s="36"/>
    </row>
    <row r="25" spans="1:19" s="157" customFormat="1" ht="13.5" customHeight="1">
      <c r="A25" s="461"/>
      <c r="B25" s="15" t="s">
        <v>26</v>
      </c>
      <c r="C25" s="3">
        <v>1070289</v>
      </c>
      <c r="D25" s="9">
        <f t="shared" si="0"/>
        <v>0.15013975260404075</v>
      </c>
      <c r="E25" s="178"/>
      <c r="F25" s="5">
        <v>2</v>
      </c>
      <c r="G25" s="9"/>
      <c r="H25" s="5"/>
      <c r="I25" s="36"/>
      <c r="J25" s="3">
        <v>61</v>
      </c>
      <c r="K25" s="9"/>
      <c r="L25" s="5">
        <v>1817</v>
      </c>
      <c r="M25" s="9">
        <f t="shared" si="1"/>
        <v>5.8857808857808856E-2</v>
      </c>
      <c r="N25" s="5"/>
      <c r="O25" s="36"/>
      <c r="P25" s="5"/>
      <c r="Q25" s="36"/>
      <c r="R25" s="5"/>
      <c r="S25" s="36"/>
    </row>
    <row r="26" spans="1:19" s="157" customFormat="1" ht="13.5" customHeight="1">
      <c r="A26" s="461"/>
      <c r="B26" s="15" t="s">
        <v>27</v>
      </c>
      <c r="C26" s="3">
        <v>785549</v>
      </c>
      <c r="D26" s="9">
        <f t="shared" si="0"/>
        <v>0.15141943351645451</v>
      </c>
      <c r="E26" s="178"/>
      <c r="F26" s="5">
        <v>4</v>
      </c>
      <c r="G26" s="9"/>
      <c r="H26" s="5"/>
      <c r="I26" s="36"/>
      <c r="J26" s="3">
        <v>59</v>
      </c>
      <c r="K26" s="9"/>
      <c r="L26" s="5">
        <v>996</v>
      </c>
      <c r="M26" s="9">
        <f t="shared" si="1"/>
        <v>9.11854103343465E-3</v>
      </c>
      <c r="N26" s="5"/>
      <c r="O26" s="36"/>
      <c r="P26" s="5"/>
      <c r="Q26" s="36"/>
      <c r="R26" s="5"/>
      <c r="S26" s="36"/>
    </row>
    <row r="27" spans="1:19" s="157" customFormat="1" ht="13.5" customHeight="1">
      <c r="A27" s="461"/>
      <c r="B27" s="15" t="s">
        <v>28</v>
      </c>
      <c r="C27" s="3">
        <v>848088</v>
      </c>
      <c r="D27" s="9">
        <f t="shared" si="0"/>
        <v>0.11953195747276044</v>
      </c>
      <c r="E27" s="178"/>
      <c r="F27" s="5">
        <v>1</v>
      </c>
      <c r="G27" s="9"/>
      <c r="H27" s="5"/>
      <c r="I27" s="36"/>
      <c r="J27" s="3">
        <v>51</v>
      </c>
      <c r="K27" s="9"/>
      <c r="L27" s="5">
        <v>1153</v>
      </c>
      <c r="M27" s="9">
        <f t="shared" si="1"/>
        <v>0.22921108742004265</v>
      </c>
      <c r="N27" s="5"/>
      <c r="O27" s="36"/>
      <c r="P27" s="5"/>
      <c r="Q27" s="36"/>
      <c r="R27" s="5"/>
      <c r="S27" s="36"/>
    </row>
    <row r="28" spans="1:19" s="157" customFormat="1" ht="13.5" customHeight="1">
      <c r="A28" s="461"/>
      <c r="B28" s="15" t="s">
        <v>29</v>
      </c>
      <c r="C28" s="3">
        <v>784031</v>
      </c>
      <c r="D28" s="9">
        <f t="shared" si="0"/>
        <v>5.1139113565459644E-2</v>
      </c>
      <c r="E28" s="178"/>
      <c r="F28" s="5">
        <v>4</v>
      </c>
      <c r="G28" s="9">
        <f>(F28-F16)/F16</f>
        <v>3</v>
      </c>
      <c r="H28" s="5"/>
      <c r="I28" s="36"/>
      <c r="J28" s="3">
        <v>116</v>
      </c>
      <c r="K28" s="9"/>
      <c r="L28" s="5">
        <v>1012</v>
      </c>
      <c r="M28" s="9">
        <f t="shared" si="1"/>
        <v>6.4143007360672979E-2</v>
      </c>
      <c r="N28" s="5"/>
      <c r="O28" s="36"/>
      <c r="P28" s="5"/>
      <c r="Q28" s="36"/>
      <c r="R28" s="5"/>
      <c r="S28" s="36"/>
    </row>
    <row r="29" spans="1:19" s="157" customFormat="1" ht="13.5" customHeight="1">
      <c r="A29" s="462"/>
      <c r="B29" s="41" t="s">
        <v>30</v>
      </c>
      <c r="C29" s="18">
        <v>790681</v>
      </c>
      <c r="D29" s="19">
        <f t="shared" si="0"/>
        <v>8.9547014800943098E-2</v>
      </c>
      <c r="E29" s="178"/>
      <c r="F29" s="98" t="s">
        <v>17</v>
      </c>
      <c r="G29" s="19"/>
      <c r="H29" s="42"/>
      <c r="I29" s="43"/>
      <c r="J29" s="18">
        <v>68</v>
      </c>
      <c r="K29" s="19"/>
      <c r="L29" s="42">
        <v>1054</v>
      </c>
      <c r="M29" s="19">
        <f>(L29-L17)/L17</f>
        <v>-1.3108614232209739E-2</v>
      </c>
      <c r="N29" s="42"/>
      <c r="O29" s="43"/>
      <c r="P29" s="42"/>
      <c r="Q29" s="43"/>
      <c r="R29" s="42"/>
      <c r="S29" s="43"/>
    </row>
    <row r="30" spans="1:19" s="157" customFormat="1" ht="13.5" customHeight="1">
      <c r="A30" s="457" t="s">
        <v>172</v>
      </c>
      <c r="B30" s="15" t="s">
        <v>170</v>
      </c>
      <c r="C30" s="3">
        <v>985287</v>
      </c>
      <c r="D30" s="9">
        <f t="shared" si="0"/>
        <v>9.7927805252026393E-2</v>
      </c>
      <c r="E30" s="178"/>
      <c r="F30" s="29">
        <v>5</v>
      </c>
      <c r="G30" s="9">
        <f t="shared" ref="G30:G40" si="2">(F30-F18)/F18</f>
        <v>-0.16666666666666666</v>
      </c>
      <c r="H30" s="5"/>
      <c r="I30" s="36"/>
      <c r="J30" s="3">
        <v>55</v>
      </c>
      <c r="K30" s="9">
        <f t="shared" ref="K30:K41" si="3">(J30-J18)/J18</f>
        <v>-0.48113207547169812</v>
      </c>
      <c r="L30" s="5">
        <v>1870</v>
      </c>
      <c r="M30" s="9">
        <f t="shared" si="1"/>
        <v>-7.9575596816976128E-3</v>
      </c>
      <c r="N30" s="5"/>
      <c r="O30" s="36"/>
      <c r="P30" s="5"/>
      <c r="Q30" s="36"/>
      <c r="R30" s="5"/>
      <c r="S30" s="36"/>
    </row>
    <row r="31" spans="1:19" s="157" customFormat="1" ht="13.5" customHeight="1">
      <c r="A31" s="461"/>
      <c r="B31" s="15" t="s">
        <v>171</v>
      </c>
      <c r="C31" s="3">
        <v>944596</v>
      </c>
      <c r="D31" s="9">
        <f t="shared" si="0"/>
        <v>0.2662178718977799</v>
      </c>
      <c r="E31" s="178"/>
      <c r="F31" s="38">
        <v>6</v>
      </c>
      <c r="G31" s="9">
        <f t="shared" si="2"/>
        <v>0.5</v>
      </c>
      <c r="H31" s="5"/>
      <c r="I31" s="36"/>
      <c r="J31" s="3">
        <v>66</v>
      </c>
      <c r="K31" s="9">
        <f t="shared" si="3"/>
        <v>0.5714285714285714</v>
      </c>
      <c r="L31" s="5">
        <v>1808</v>
      </c>
      <c r="M31" s="9">
        <f t="shared" si="1"/>
        <v>0.25381414701803051</v>
      </c>
      <c r="N31" s="5"/>
      <c r="O31" s="36"/>
      <c r="P31" s="5"/>
      <c r="Q31" s="36"/>
      <c r="R31" s="5"/>
      <c r="S31" s="36"/>
    </row>
    <row r="32" spans="1:19" s="157" customFormat="1" ht="13.5" customHeight="1">
      <c r="A32" s="461"/>
      <c r="B32" s="15" t="s">
        <v>21</v>
      </c>
      <c r="C32" s="3">
        <v>823918</v>
      </c>
      <c r="D32" s="9">
        <f t="shared" si="0"/>
        <v>0.16527639882442458</v>
      </c>
      <c r="E32" s="178"/>
      <c r="F32" s="38">
        <v>4</v>
      </c>
      <c r="G32" s="9">
        <f t="shared" si="2"/>
        <v>0.33333333333333331</v>
      </c>
      <c r="H32" s="5"/>
      <c r="I32" s="36"/>
      <c r="J32" s="3">
        <v>41</v>
      </c>
      <c r="K32" s="9">
        <f t="shared" si="3"/>
        <v>-0.21153846153846154</v>
      </c>
      <c r="L32" s="5">
        <v>1165</v>
      </c>
      <c r="M32" s="9">
        <f t="shared" si="1"/>
        <v>0.27881448957189903</v>
      </c>
      <c r="N32" s="5"/>
      <c r="O32" s="36"/>
      <c r="P32" s="5"/>
      <c r="Q32" s="36"/>
      <c r="R32" s="5"/>
      <c r="S32" s="36"/>
    </row>
    <row r="33" spans="1:19" s="157" customFormat="1" ht="13.5" customHeight="1">
      <c r="A33" s="461"/>
      <c r="B33" s="15" t="s">
        <v>22</v>
      </c>
      <c r="C33" s="3">
        <v>855083</v>
      </c>
      <c r="D33" s="9">
        <f t="shared" si="0"/>
        <v>0.12201481178224266</v>
      </c>
      <c r="E33" s="178"/>
      <c r="F33" s="90">
        <v>1</v>
      </c>
      <c r="G33" s="74"/>
      <c r="H33" s="5"/>
      <c r="I33" s="36"/>
      <c r="J33" s="3">
        <v>53</v>
      </c>
      <c r="K33" s="74">
        <f t="shared" si="3"/>
        <v>-0.10169491525423729</v>
      </c>
      <c r="L33" s="5">
        <v>1060</v>
      </c>
      <c r="M33" s="74">
        <f t="shared" si="1"/>
        <v>0.20181405895691609</v>
      </c>
      <c r="N33" s="5"/>
      <c r="O33" s="36"/>
      <c r="P33" s="5"/>
      <c r="Q33" s="36"/>
      <c r="R33" s="5"/>
      <c r="S33" s="36"/>
    </row>
    <row r="34" spans="1:19" s="157" customFormat="1" ht="13.5" customHeight="1">
      <c r="A34" s="461"/>
      <c r="B34" s="15" t="s">
        <v>23</v>
      </c>
      <c r="C34" s="3">
        <v>906482</v>
      </c>
      <c r="D34" s="9">
        <f t="shared" si="0"/>
        <v>0.12957680838682262</v>
      </c>
      <c r="E34" s="178"/>
      <c r="F34" s="98" t="s">
        <v>17</v>
      </c>
      <c r="G34" s="9"/>
      <c r="H34" s="5"/>
      <c r="I34" s="36"/>
      <c r="J34" s="3">
        <v>80</v>
      </c>
      <c r="K34" s="9">
        <f t="shared" si="3"/>
        <v>-0.13043478260869565</v>
      </c>
      <c r="L34" s="5">
        <v>936</v>
      </c>
      <c r="M34" s="9">
        <f t="shared" si="1"/>
        <v>0.11296076099881094</v>
      </c>
      <c r="N34" s="5"/>
      <c r="O34" s="36"/>
      <c r="P34" s="5"/>
      <c r="Q34" s="36"/>
      <c r="R34" s="5"/>
      <c r="S34" s="36"/>
    </row>
    <row r="35" spans="1:19" s="157" customFormat="1" ht="13.5" customHeight="1">
      <c r="A35" s="461"/>
      <c r="B35" s="15" t="s">
        <v>24</v>
      </c>
      <c r="C35" s="3">
        <v>915942</v>
      </c>
      <c r="D35" s="9">
        <f t="shared" si="0"/>
        <v>5.8044826514711337E-2</v>
      </c>
      <c r="E35" s="178"/>
      <c r="F35" s="98" t="s">
        <v>17</v>
      </c>
      <c r="G35" s="74"/>
      <c r="H35" s="5"/>
      <c r="I35" s="36"/>
      <c r="J35" s="3">
        <v>79</v>
      </c>
      <c r="K35" s="74">
        <f t="shared" si="3"/>
        <v>1.0789473684210527</v>
      </c>
      <c r="L35" s="5">
        <v>1073</v>
      </c>
      <c r="M35" s="74">
        <f t="shared" si="1"/>
        <v>-4.1964285714285711E-2</v>
      </c>
      <c r="N35" s="5"/>
      <c r="O35" s="36"/>
      <c r="P35" s="5"/>
      <c r="Q35" s="36"/>
      <c r="R35" s="5"/>
      <c r="S35" s="36"/>
    </row>
    <row r="36" spans="1:19" s="157" customFormat="1" ht="13.5" customHeight="1">
      <c r="A36" s="461"/>
      <c r="B36" s="15" t="s">
        <v>25</v>
      </c>
      <c r="C36" s="3">
        <v>1098740</v>
      </c>
      <c r="D36" s="9">
        <f t="shared" si="0"/>
        <v>7.6397222845398072E-2</v>
      </c>
      <c r="E36" s="178"/>
      <c r="F36" s="90">
        <v>13</v>
      </c>
      <c r="G36" s="9"/>
      <c r="H36" s="5"/>
      <c r="I36" s="36"/>
      <c r="J36" s="3">
        <v>64</v>
      </c>
      <c r="K36" s="9">
        <f t="shared" si="3"/>
        <v>-1.5384615384615385E-2</v>
      </c>
      <c r="L36" s="5">
        <v>1691</v>
      </c>
      <c r="M36" s="9">
        <f t="shared" si="1"/>
        <v>-6.4629847238542888E-3</v>
      </c>
      <c r="N36" s="5"/>
      <c r="O36" s="36"/>
      <c r="P36" s="5"/>
      <c r="Q36" s="36"/>
      <c r="R36" s="5"/>
      <c r="S36" s="36"/>
    </row>
    <row r="37" spans="1:19" s="157" customFormat="1" ht="13.5" customHeight="1">
      <c r="A37" s="461"/>
      <c r="B37" s="15" t="s">
        <v>26</v>
      </c>
      <c r="C37" s="3">
        <v>1159874</v>
      </c>
      <c r="D37" s="9">
        <f t="shared" si="0"/>
        <v>8.3701691786050303E-2</v>
      </c>
      <c r="E37" s="178"/>
      <c r="F37" s="98" t="s">
        <v>17</v>
      </c>
      <c r="G37" s="74"/>
      <c r="H37" s="5"/>
      <c r="I37" s="36"/>
      <c r="J37" s="3">
        <v>132</v>
      </c>
      <c r="K37" s="74">
        <f t="shared" si="3"/>
        <v>1.1639344262295082</v>
      </c>
      <c r="L37" s="5">
        <v>1621</v>
      </c>
      <c r="M37" s="74">
        <f t="shared" si="1"/>
        <v>-0.10787011557512383</v>
      </c>
      <c r="N37" s="5"/>
      <c r="O37" s="36"/>
      <c r="P37" s="5"/>
      <c r="Q37" s="36"/>
      <c r="R37" s="5"/>
      <c r="S37" s="36"/>
    </row>
    <row r="38" spans="1:19" s="157" customFormat="1" ht="13.5" customHeight="1">
      <c r="A38" s="461"/>
      <c r="B38" s="15" t="s">
        <v>27</v>
      </c>
      <c r="C38" s="3">
        <v>931946</v>
      </c>
      <c r="D38" s="9">
        <f t="shared" si="0"/>
        <v>0.18636265847197311</v>
      </c>
      <c r="E38" s="178"/>
      <c r="F38" s="90">
        <v>3</v>
      </c>
      <c r="G38" s="74">
        <f t="shared" si="2"/>
        <v>-0.25</v>
      </c>
      <c r="H38" s="5"/>
      <c r="I38" s="36"/>
      <c r="J38" s="3">
        <v>75</v>
      </c>
      <c r="K38" s="74">
        <f t="shared" si="3"/>
        <v>0.2711864406779661</v>
      </c>
      <c r="L38" s="5">
        <v>1151</v>
      </c>
      <c r="M38" s="74">
        <f t="shared" si="1"/>
        <v>0.15562248995983935</v>
      </c>
      <c r="N38" s="5"/>
      <c r="O38" s="36"/>
      <c r="P38" s="5"/>
      <c r="Q38" s="36"/>
      <c r="R38" s="5"/>
      <c r="S38" s="36"/>
    </row>
    <row r="39" spans="1:19" s="157" customFormat="1" ht="13.5" customHeight="1">
      <c r="A39" s="461"/>
      <c r="B39" s="15" t="s">
        <v>28</v>
      </c>
      <c r="C39" s="3">
        <v>984649</v>
      </c>
      <c r="D39" s="9">
        <f t="shared" si="0"/>
        <v>0.16102220524285216</v>
      </c>
      <c r="E39" s="178"/>
      <c r="F39" s="38">
        <v>3</v>
      </c>
      <c r="G39" s="9">
        <f t="shared" si="2"/>
        <v>2</v>
      </c>
      <c r="H39" s="5"/>
      <c r="I39" s="36"/>
      <c r="J39" s="3">
        <v>55</v>
      </c>
      <c r="K39" s="9">
        <f t="shared" si="3"/>
        <v>7.8431372549019607E-2</v>
      </c>
      <c r="L39" s="5">
        <v>1478</v>
      </c>
      <c r="M39" s="9">
        <f t="shared" si="1"/>
        <v>0.2818733738074588</v>
      </c>
      <c r="N39" s="5"/>
      <c r="O39" s="36"/>
      <c r="P39" s="5"/>
      <c r="Q39" s="36"/>
      <c r="R39" s="5"/>
      <c r="S39" s="36"/>
    </row>
    <row r="40" spans="1:19" s="157" customFormat="1" ht="13.5" customHeight="1">
      <c r="A40" s="461"/>
      <c r="B40" s="15" t="s">
        <v>29</v>
      </c>
      <c r="C40" s="3">
        <v>987488</v>
      </c>
      <c r="D40" s="9">
        <f t="shared" si="0"/>
        <v>0.25950121870181153</v>
      </c>
      <c r="E40" s="178"/>
      <c r="F40" s="38">
        <v>12</v>
      </c>
      <c r="G40" s="9">
        <f t="shared" si="2"/>
        <v>2</v>
      </c>
      <c r="H40" s="5"/>
      <c r="I40" s="36"/>
      <c r="J40" s="3">
        <v>72</v>
      </c>
      <c r="K40" s="9">
        <f t="shared" si="3"/>
        <v>-0.37931034482758619</v>
      </c>
      <c r="L40" s="5">
        <v>1410</v>
      </c>
      <c r="M40" s="9">
        <f t="shared" si="1"/>
        <v>0.3932806324110672</v>
      </c>
      <c r="N40" s="5"/>
      <c r="O40" s="36"/>
      <c r="P40" s="5"/>
      <c r="Q40" s="36"/>
      <c r="R40" s="5"/>
      <c r="S40" s="36"/>
    </row>
    <row r="41" spans="1:19" s="157" customFormat="1" ht="13.5" customHeight="1">
      <c r="A41" s="462"/>
      <c r="B41" s="15" t="s">
        <v>30</v>
      </c>
      <c r="C41" s="52">
        <v>1015874</v>
      </c>
      <c r="D41" s="9">
        <f t="shared" si="0"/>
        <v>0.28480891788218005</v>
      </c>
      <c r="E41" s="178"/>
      <c r="F41" s="46">
        <v>3</v>
      </c>
      <c r="G41" s="19"/>
      <c r="H41" s="5"/>
      <c r="I41" s="36"/>
      <c r="J41" s="3">
        <v>88</v>
      </c>
      <c r="K41" s="19">
        <f t="shared" si="3"/>
        <v>0.29411764705882354</v>
      </c>
      <c r="L41" s="5">
        <v>1535</v>
      </c>
      <c r="M41" s="19">
        <f t="shared" si="1"/>
        <v>0.45635673624288425</v>
      </c>
      <c r="N41" s="5"/>
      <c r="O41" s="36"/>
      <c r="P41" s="5"/>
      <c r="Q41" s="36"/>
      <c r="R41" s="5"/>
      <c r="S41" s="36"/>
    </row>
    <row r="42" spans="1:19" s="157" customFormat="1" ht="13.5" customHeight="1">
      <c r="A42" s="457" t="s">
        <v>173</v>
      </c>
      <c r="B42" s="2" t="s">
        <v>170</v>
      </c>
      <c r="C42" s="23">
        <v>1281530</v>
      </c>
      <c r="D42" s="24">
        <f t="shared" si="0"/>
        <v>0.30066670929384026</v>
      </c>
      <c r="E42" s="178"/>
      <c r="F42" s="29">
        <v>13</v>
      </c>
      <c r="G42" s="9">
        <f>(F42/F30-1)</f>
        <v>1.6</v>
      </c>
      <c r="H42" s="23"/>
      <c r="I42" s="24"/>
      <c r="J42" s="23">
        <v>115</v>
      </c>
      <c r="K42" s="9">
        <f>(J42/J30-1)</f>
        <v>1.0909090909090908</v>
      </c>
      <c r="L42" s="23">
        <v>3063</v>
      </c>
      <c r="M42" s="9">
        <f>(L42/L30-1)</f>
        <v>0.63796791443850265</v>
      </c>
      <c r="N42" s="23"/>
      <c r="O42" s="24"/>
      <c r="P42" s="23"/>
      <c r="Q42" s="24"/>
      <c r="R42" s="23"/>
      <c r="S42" s="24"/>
    </row>
    <row r="43" spans="1:19" s="157" customFormat="1" ht="13.5" customHeight="1">
      <c r="A43" s="461"/>
      <c r="B43" s="15" t="s">
        <v>44</v>
      </c>
      <c r="C43" s="3">
        <v>982591</v>
      </c>
      <c r="D43" s="9">
        <f t="shared" si="0"/>
        <v>4.0223545304024153E-2</v>
      </c>
      <c r="E43" s="178"/>
      <c r="F43" s="38">
        <v>3</v>
      </c>
      <c r="G43" s="9">
        <f>(F43/F31-1)</f>
        <v>-0.5</v>
      </c>
      <c r="H43" s="3"/>
      <c r="I43" s="9"/>
      <c r="J43" s="3">
        <v>139</v>
      </c>
      <c r="K43" s="9">
        <f>(J43/J31-1)</f>
        <v>1.106060606060606</v>
      </c>
      <c r="L43" s="3">
        <v>1353</v>
      </c>
      <c r="M43" s="9">
        <f>(L43/L31-1)</f>
        <v>-0.25165929203539827</v>
      </c>
      <c r="N43" s="3"/>
      <c r="O43" s="9"/>
      <c r="P43" s="3"/>
      <c r="Q43" s="9"/>
      <c r="R43" s="3"/>
      <c r="S43" s="9"/>
    </row>
    <row r="44" spans="1:19" s="157" customFormat="1" ht="13.5" customHeight="1">
      <c r="A44" s="461"/>
      <c r="B44" s="15" t="s">
        <v>174</v>
      </c>
      <c r="C44" s="3">
        <v>1046055</v>
      </c>
      <c r="D44" s="9">
        <v>0.27</v>
      </c>
      <c r="E44" s="178"/>
      <c r="F44" s="38">
        <v>3</v>
      </c>
      <c r="G44" s="9">
        <f>(F44/F32-1)</f>
        <v>-0.25</v>
      </c>
      <c r="H44" s="3"/>
      <c r="I44" s="9"/>
      <c r="J44" s="3">
        <v>170</v>
      </c>
      <c r="K44" s="9">
        <f>(J44/J32-1)</f>
        <v>3.1463414634146343</v>
      </c>
      <c r="L44" s="3">
        <v>1367</v>
      </c>
      <c r="M44" s="9">
        <f>(L44/L32-1)</f>
        <v>0.1733905579399142</v>
      </c>
      <c r="N44" s="3"/>
      <c r="O44" s="9"/>
      <c r="P44" s="3"/>
      <c r="Q44" s="9"/>
      <c r="R44" s="3"/>
      <c r="S44" s="9"/>
    </row>
    <row r="45" spans="1:19" s="157" customFormat="1" ht="13.5" customHeight="1">
      <c r="A45" s="461"/>
      <c r="B45" s="15" t="s">
        <v>175</v>
      </c>
      <c r="C45" s="3">
        <v>989018</v>
      </c>
      <c r="D45" s="9">
        <v>0.157</v>
      </c>
      <c r="E45" s="178"/>
      <c r="F45" s="38">
        <v>2</v>
      </c>
      <c r="G45" s="9">
        <f>(F45/F33-1)</f>
        <v>1</v>
      </c>
      <c r="H45" s="3"/>
      <c r="I45" s="9"/>
      <c r="J45" s="3">
        <v>105</v>
      </c>
      <c r="K45" s="9">
        <f>(J45/J33-1)</f>
        <v>0.98113207547169812</v>
      </c>
      <c r="L45" s="3">
        <v>1319</v>
      </c>
      <c r="M45" s="9">
        <f>(L45/L33-1)</f>
        <v>0.24433962264150932</v>
      </c>
      <c r="N45" s="3"/>
      <c r="O45" s="9"/>
      <c r="P45" s="3"/>
      <c r="Q45" s="9"/>
      <c r="R45" s="3"/>
      <c r="S45" s="9"/>
    </row>
    <row r="46" spans="1:19" s="157" customFormat="1" ht="13.5" customHeight="1">
      <c r="A46" s="461"/>
      <c r="B46" s="15" t="s">
        <v>176</v>
      </c>
      <c r="C46" s="3">
        <v>1107498</v>
      </c>
      <c r="D46" s="9">
        <v>0.222</v>
      </c>
      <c r="E46" s="178"/>
      <c r="F46" s="38">
        <v>1</v>
      </c>
      <c r="G46" s="9">
        <v>5.8000000000000003E-2</v>
      </c>
      <c r="H46" s="3"/>
      <c r="I46" s="9"/>
      <c r="J46" s="3">
        <v>103</v>
      </c>
      <c r="K46" s="9">
        <v>5.8000000000000003E-2</v>
      </c>
      <c r="L46" s="3">
        <v>1260</v>
      </c>
      <c r="M46" s="9">
        <v>5.8000000000000003E-2</v>
      </c>
      <c r="N46" s="3"/>
      <c r="O46" s="9"/>
      <c r="P46" s="3"/>
      <c r="Q46" s="9"/>
      <c r="R46" s="3"/>
      <c r="S46" s="9"/>
    </row>
    <row r="47" spans="1:19" s="157" customFormat="1" ht="13.5" customHeight="1">
      <c r="A47" s="461"/>
      <c r="B47" s="15" t="s">
        <v>177</v>
      </c>
      <c r="C47" s="3">
        <v>1064076</v>
      </c>
      <c r="D47" s="9">
        <v>0.16200000000000001</v>
      </c>
      <c r="E47" s="178"/>
      <c r="F47" s="38">
        <v>15</v>
      </c>
      <c r="G47" s="9"/>
      <c r="H47" s="3"/>
      <c r="I47" s="9"/>
      <c r="J47" s="3">
        <v>124</v>
      </c>
      <c r="K47" s="9">
        <f t="shared" ref="K47:K65" si="4">(J47-J35)/J35</f>
        <v>0.569620253164557</v>
      </c>
      <c r="L47" s="3">
        <v>1390</v>
      </c>
      <c r="M47" s="9">
        <f t="shared" ref="M47:M65" si="5">(L47-L35)/L35</f>
        <v>0.29543336439888163</v>
      </c>
      <c r="N47" s="3"/>
      <c r="O47" s="9"/>
      <c r="P47" s="3"/>
      <c r="Q47" s="9"/>
      <c r="R47" s="3"/>
      <c r="S47" s="9"/>
    </row>
    <row r="48" spans="1:19" s="157" customFormat="1" ht="13.5" customHeight="1">
      <c r="A48" s="461"/>
      <c r="B48" s="15" t="s">
        <v>178</v>
      </c>
      <c r="C48" s="3">
        <v>1297398</v>
      </c>
      <c r="D48" s="9">
        <v>0.18099999999999999</v>
      </c>
      <c r="E48" s="178"/>
      <c r="F48" s="38">
        <v>15</v>
      </c>
      <c r="G48" s="9">
        <f>(F48-F36)/F36</f>
        <v>0.15384615384615385</v>
      </c>
      <c r="H48" s="3"/>
      <c r="I48" s="9"/>
      <c r="J48" s="3">
        <v>96</v>
      </c>
      <c r="K48" s="9">
        <f t="shared" si="4"/>
        <v>0.5</v>
      </c>
      <c r="L48" s="3">
        <v>2257</v>
      </c>
      <c r="M48" s="9">
        <f t="shared" si="5"/>
        <v>0.33471318746303963</v>
      </c>
      <c r="N48" s="3"/>
      <c r="O48" s="9"/>
      <c r="P48" s="3"/>
      <c r="Q48" s="9"/>
      <c r="R48" s="3"/>
      <c r="S48" s="9"/>
    </row>
    <row r="49" spans="1:19" s="157" customFormat="1" ht="13.5" customHeight="1">
      <c r="A49" s="461"/>
      <c r="B49" s="15" t="s">
        <v>179</v>
      </c>
      <c r="C49" s="3">
        <v>1308664</v>
      </c>
      <c r="D49" s="9">
        <v>0.128</v>
      </c>
      <c r="E49" s="178"/>
      <c r="F49" s="38">
        <v>5</v>
      </c>
      <c r="G49" s="9"/>
      <c r="H49" s="3"/>
      <c r="I49" s="9"/>
      <c r="J49" s="5">
        <v>120</v>
      </c>
      <c r="K49" s="9">
        <f t="shared" si="4"/>
        <v>-9.0909090909090912E-2</v>
      </c>
      <c r="L49" s="3">
        <v>2455</v>
      </c>
      <c r="M49" s="9">
        <f t="shared" si="5"/>
        <v>0.51449722393584207</v>
      </c>
      <c r="N49" s="3"/>
      <c r="O49" s="9"/>
      <c r="P49" s="3"/>
      <c r="Q49" s="9"/>
      <c r="R49" s="3"/>
      <c r="S49" s="9"/>
    </row>
    <row r="50" spans="1:19" s="157" customFormat="1" ht="13.5" customHeight="1">
      <c r="A50" s="461"/>
      <c r="B50" s="15" t="s">
        <v>180</v>
      </c>
      <c r="C50" s="3">
        <v>1015650</v>
      </c>
      <c r="D50" s="9">
        <v>0.09</v>
      </c>
      <c r="E50" s="178"/>
      <c r="F50" s="38">
        <v>24</v>
      </c>
      <c r="G50" s="9">
        <f t="shared" ref="G50:G55" si="6">(F50-F38)/F38</f>
        <v>7</v>
      </c>
      <c r="H50" s="5"/>
      <c r="I50" s="9"/>
      <c r="J50" s="5">
        <v>62</v>
      </c>
      <c r="K50" s="9">
        <f t="shared" si="4"/>
        <v>-0.17333333333333334</v>
      </c>
      <c r="L50" s="5">
        <v>1425</v>
      </c>
      <c r="M50" s="9">
        <f t="shared" si="5"/>
        <v>0.23805386620330149</v>
      </c>
      <c r="N50" s="5"/>
      <c r="O50" s="9"/>
      <c r="P50" s="5"/>
      <c r="Q50" s="9"/>
      <c r="R50" s="5"/>
      <c r="S50" s="9"/>
    </row>
    <row r="51" spans="1:19" s="157" customFormat="1" ht="13.5" customHeight="1">
      <c r="A51" s="461"/>
      <c r="B51" s="15" t="s">
        <v>181</v>
      </c>
      <c r="C51" s="5">
        <v>1078092</v>
      </c>
      <c r="D51" s="9">
        <v>9.5000000000000001E-2</v>
      </c>
      <c r="E51" s="178"/>
      <c r="F51" s="38">
        <v>14</v>
      </c>
      <c r="G51" s="9">
        <f t="shared" si="6"/>
        <v>3.6666666666666665</v>
      </c>
      <c r="H51" s="5"/>
      <c r="I51" s="9"/>
      <c r="J51" s="5">
        <v>72</v>
      </c>
      <c r="K51" s="9">
        <f t="shared" si="4"/>
        <v>0.30909090909090908</v>
      </c>
      <c r="L51" s="5">
        <v>1655</v>
      </c>
      <c r="M51" s="9">
        <f t="shared" si="5"/>
        <v>0.11975642760487144</v>
      </c>
      <c r="N51" s="5"/>
      <c r="O51" s="9"/>
      <c r="P51" s="5"/>
      <c r="Q51" s="9"/>
      <c r="R51" s="5"/>
      <c r="S51" s="9"/>
    </row>
    <row r="52" spans="1:19" s="157" customFormat="1" ht="13.5" customHeight="1">
      <c r="A52" s="461"/>
      <c r="B52" s="15" t="s">
        <v>29</v>
      </c>
      <c r="C52" s="5">
        <v>1072557</v>
      </c>
      <c r="D52" s="9">
        <v>8.5999999999999993E-2</v>
      </c>
      <c r="E52" s="178"/>
      <c r="F52" s="38">
        <v>5</v>
      </c>
      <c r="G52" s="9">
        <f t="shared" si="6"/>
        <v>-0.58333333333333337</v>
      </c>
      <c r="H52" s="5"/>
      <c r="I52" s="9"/>
      <c r="J52" s="5">
        <v>84</v>
      </c>
      <c r="K52" s="9">
        <f t="shared" si="4"/>
        <v>0.16666666666666666</v>
      </c>
      <c r="L52" s="5">
        <v>1249</v>
      </c>
      <c r="M52" s="9">
        <f t="shared" si="5"/>
        <v>-0.11418439716312057</v>
      </c>
      <c r="N52" s="5"/>
      <c r="O52" s="9"/>
      <c r="P52" s="5"/>
      <c r="Q52" s="9"/>
      <c r="R52" s="5"/>
      <c r="S52" s="9"/>
    </row>
    <row r="53" spans="1:19" s="157" customFormat="1" ht="13.5" customHeight="1">
      <c r="A53" s="462"/>
      <c r="B53" s="41" t="s">
        <v>182</v>
      </c>
      <c r="C53" s="5">
        <v>1081848</v>
      </c>
      <c r="D53" s="9">
        <v>6.5000000000000002E-2</v>
      </c>
      <c r="E53" s="178"/>
      <c r="F53" s="46">
        <v>16</v>
      </c>
      <c r="G53" s="19">
        <f t="shared" si="6"/>
        <v>4.333333333333333</v>
      </c>
      <c r="H53" s="42"/>
      <c r="I53" s="19"/>
      <c r="J53" s="42">
        <v>35</v>
      </c>
      <c r="K53" s="19">
        <f t="shared" si="4"/>
        <v>-0.60227272727272729</v>
      </c>
      <c r="L53" s="5">
        <v>1663</v>
      </c>
      <c r="M53" s="19">
        <f>(L53-L41)/L41</f>
        <v>8.3387622149837137E-2</v>
      </c>
      <c r="N53" s="42"/>
      <c r="O53" s="19"/>
      <c r="P53" s="42"/>
      <c r="Q53" s="19"/>
      <c r="R53" s="42"/>
      <c r="S53" s="19"/>
    </row>
    <row r="54" spans="1:19" s="157" customFormat="1" ht="13.5" customHeight="1">
      <c r="A54" s="457" t="s">
        <v>183</v>
      </c>
      <c r="B54" s="2" t="s">
        <v>170</v>
      </c>
      <c r="C54" s="25">
        <v>1322909</v>
      </c>
      <c r="D54" s="24">
        <v>3.2000000000000001E-2</v>
      </c>
      <c r="E54" s="178"/>
      <c r="F54" s="29">
        <v>5</v>
      </c>
      <c r="G54" s="9">
        <f t="shared" si="6"/>
        <v>-0.61538461538461542</v>
      </c>
      <c r="H54" s="25"/>
      <c r="I54" s="24"/>
      <c r="J54" s="25">
        <v>109</v>
      </c>
      <c r="K54" s="9">
        <f t="shared" si="4"/>
        <v>-5.2173913043478258E-2</v>
      </c>
      <c r="L54" s="25">
        <v>2742</v>
      </c>
      <c r="M54" s="9">
        <f t="shared" si="5"/>
        <v>-0.10479921645445642</v>
      </c>
      <c r="N54" s="25"/>
      <c r="O54" s="24"/>
      <c r="P54" s="25"/>
      <c r="Q54" s="24"/>
      <c r="R54" s="25"/>
      <c r="S54" s="24"/>
    </row>
    <row r="55" spans="1:19" s="157" customFormat="1" ht="13.5" customHeight="1">
      <c r="A55" s="461"/>
      <c r="B55" s="15" t="s">
        <v>171</v>
      </c>
      <c r="C55" s="5">
        <v>1132463</v>
      </c>
      <c r="D55" s="9">
        <v>0.153</v>
      </c>
      <c r="E55" s="178"/>
      <c r="F55" s="38">
        <v>41</v>
      </c>
      <c r="G55" s="9">
        <f t="shared" si="6"/>
        <v>12.666666666666666</v>
      </c>
      <c r="H55" s="5"/>
      <c r="I55" s="9"/>
      <c r="J55" s="5">
        <v>131</v>
      </c>
      <c r="K55" s="9">
        <f t="shared" si="4"/>
        <v>-5.7553956834532377E-2</v>
      </c>
      <c r="L55" s="5">
        <v>1794</v>
      </c>
      <c r="M55" s="9">
        <f t="shared" si="5"/>
        <v>0.32594235033259422</v>
      </c>
      <c r="N55" s="5"/>
      <c r="O55" s="9"/>
      <c r="P55" s="5"/>
      <c r="Q55" s="9"/>
      <c r="R55" s="5"/>
      <c r="S55" s="9"/>
    </row>
    <row r="56" spans="1:19" s="157" customFormat="1" ht="13.5" customHeight="1">
      <c r="A56" s="461"/>
      <c r="B56" s="15" t="s">
        <v>21</v>
      </c>
      <c r="C56" s="5">
        <v>983589</v>
      </c>
      <c r="D56" s="9">
        <v>-6.0299999999999999E-2</v>
      </c>
      <c r="E56" s="178"/>
      <c r="F56" s="38">
        <v>2</v>
      </c>
      <c r="G56" s="9">
        <f t="shared" ref="G56:G65" si="7">(F56-F44)/F44</f>
        <v>-0.33333333333333331</v>
      </c>
      <c r="H56" s="5"/>
      <c r="I56" s="9"/>
      <c r="J56" s="5">
        <v>82</v>
      </c>
      <c r="K56" s="9">
        <f t="shared" si="4"/>
        <v>-0.51764705882352946</v>
      </c>
      <c r="L56" s="57">
        <v>1711</v>
      </c>
      <c r="M56" s="9">
        <f t="shared" si="5"/>
        <v>0.25164594001463059</v>
      </c>
      <c r="N56" s="5"/>
      <c r="O56" s="9"/>
      <c r="P56" s="5"/>
      <c r="Q56" s="9"/>
      <c r="R56" s="5"/>
      <c r="S56" s="9"/>
    </row>
    <row r="57" spans="1:19" s="157" customFormat="1" ht="13.5" customHeight="1">
      <c r="A57" s="461"/>
      <c r="B57" s="15" t="s">
        <v>22</v>
      </c>
      <c r="C57" s="5">
        <v>1026750</v>
      </c>
      <c r="D57" s="9">
        <v>3.7999999999999999E-2</v>
      </c>
      <c r="E57" s="178"/>
      <c r="F57" s="38">
        <v>5</v>
      </c>
      <c r="G57" s="74">
        <f t="shared" si="7"/>
        <v>1.5</v>
      </c>
      <c r="H57" s="5"/>
      <c r="I57" s="9"/>
      <c r="J57" s="5">
        <v>5</v>
      </c>
      <c r="K57" s="74">
        <f t="shared" si="4"/>
        <v>-0.95238095238095233</v>
      </c>
      <c r="L57" s="5">
        <v>1616</v>
      </c>
      <c r="M57" s="74">
        <f t="shared" si="5"/>
        <v>0.22517058377558757</v>
      </c>
      <c r="N57" s="5"/>
      <c r="O57" s="9"/>
      <c r="P57" s="5"/>
      <c r="Q57" s="9"/>
      <c r="R57" s="5"/>
      <c r="S57" s="9"/>
    </row>
    <row r="58" spans="1:19" s="157" customFormat="1" ht="13.5" customHeight="1">
      <c r="A58" s="461"/>
      <c r="B58" s="15" t="s">
        <v>23</v>
      </c>
      <c r="C58" s="5">
        <v>1099977</v>
      </c>
      <c r="D58" s="9">
        <v>-7.0000000000000001E-3</v>
      </c>
      <c r="E58" s="178"/>
      <c r="F58" s="38">
        <v>1</v>
      </c>
      <c r="G58" s="9">
        <f t="shared" si="7"/>
        <v>0</v>
      </c>
      <c r="H58" s="5"/>
      <c r="I58" s="9"/>
      <c r="J58" s="5">
        <v>5</v>
      </c>
      <c r="K58" s="9">
        <f t="shared" si="4"/>
        <v>-0.95145631067961167</v>
      </c>
      <c r="L58" s="5">
        <v>1410</v>
      </c>
      <c r="M58" s="9">
        <f t="shared" si="5"/>
        <v>0.11904761904761904</v>
      </c>
      <c r="N58" s="5"/>
      <c r="O58" s="9"/>
      <c r="P58" s="5"/>
      <c r="Q58" s="9"/>
      <c r="R58" s="5"/>
      <c r="S58" s="9"/>
    </row>
    <row r="59" spans="1:19" s="157" customFormat="1" ht="13.5" customHeight="1">
      <c r="A59" s="461"/>
      <c r="B59" s="15" t="s">
        <v>24</v>
      </c>
      <c r="C59" s="5">
        <v>1004715</v>
      </c>
      <c r="D59" s="9">
        <v>-5.6000000000000001E-2</v>
      </c>
      <c r="E59" s="178"/>
      <c r="F59" s="38">
        <v>6</v>
      </c>
      <c r="G59" s="74">
        <f t="shared" si="7"/>
        <v>-0.6</v>
      </c>
      <c r="H59" s="5"/>
      <c r="I59" s="9"/>
      <c r="J59" s="5">
        <v>13</v>
      </c>
      <c r="K59" s="74">
        <f t="shared" si="4"/>
        <v>-0.89516129032258063</v>
      </c>
      <c r="L59" s="5">
        <v>1391</v>
      </c>
      <c r="M59" s="74">
        <f t="shared" si="5"/>
        <v>7.1942446043165469E-4</v>
      </c>
      <c r="N59" s="5"/>
      <c r="O59" s="9"/>
      <c r="P59" s="5"/>
      <c r="Q59" s="9"/>
      <c r="R59" s="5"/>
      <c r="S59" s="9"/>
    </row>
    <row r="60" spans="1:19" s="157" customFormat="1" ht="13.5" customHeight="1">
      <c r="A60" s="461"/>
      <c r="B60" s="15" t="s">
        <v>25</v>
      </c>
      <c r="C60" s="5">
        <v>1135843</v>
      </c>
      <c r="D60" s="9">
        <v>-0.125</v>
      </c>
      <c r="E60" s="178"/>
      <c r="F60" s="38">
        <v>7</v>
      </c>
      <c r="G60" s="9">
        <f t="shared" si="7"/>
        <v>-0.53333333333333333</v>
      </c>
      <c r="H60" s="5"/>
      <c r="I60" s="9"/>
      <c r="J60" s="5">
        <v>148</v>
      </c>
      <c r="K60" s="9">
        <f t="shared" si="4"/>
        <v>0.54166666666666663</v>
      </c>
      <c r="L60" s="5">
        <v>2584</v>
      </c>
      <c r="M60" s="9">
        <f t="shared" si="5"/>
        <v>0.14488258750553831</v>
      </c>
      <c r="N60" s="5"/>
      <c r="O60" s="9"/>
      <c r="P60" s="5"/>
      <c r="Q60" s="9"/>
      <c r="R60" s="5"/>
      <c r="S60" s="9"/>
    </row>
    <row r="61" spans="1:19" s="157" customFormat="1" ht="13.5" customHeight="1">
      <c r="A61" s="461"/>
      <c r="B61" s="15" t="s">
        <v>26</v>
      </c>
      <c r="C61" s="5">
        <v>1163809</v>
      </c>
      <c r="D61" s="9">
        <v>-0.111</v>
      </c>
      <c r="E61" s="178"/>
      <c r="F61" s="38">
        <v>5</v>
      </c>
      <c r="G61" s="74">
        <f t="shared" si="7"/>
        <v>0</v>
      </c>
      <c r="H61" s="5"/>
      <c r="I61" s="9"/>
      <c r="J61" s="5">
        <v>104</v>
      </c>
      <c r="K61" s="74">
        <f t="shared" si="4"/>
        <v>-0.13333333333333333</v>
      </c>
      <c r="L61" s="5">
        <v>2213</v>
      </c>
      <c r="M61" s="74">
        <f t="shared" si="5"/>
        <v>-9.8574338085539712E-2</v>
      </c>
      <c r="N61" s="5"/>
      <c r="O61" s="9"/>
      <c r="P61" s="5"/>
      <c r="Q61" s="9"/>
      <c r="R61" s="5"/>
      <c r="S61" s="9"/>
    </row>
    <row r="62" spans="1:19" s="157" customFormat="1" ht="13.5" customHeight="1">
      <c r="A62" s="461"/>
      <c r="B62" s="15" t="s">
        <v>27</v>
      </c>
      <c r="C62" s="5">
        <v>818747</v>
      </c>
      <c r="D62" s="9">
        <v>-0.19400000000000001</v>
      </c>
      <c r="E62" s="178"/>
      <c r="F62" s="38">
        <v>1</v>
      </c>
      <c r="G62" s="74">
        <f t="shared" si="7"/>
        <v>-0.95833333333333337</v>
      </c>
      <c r="H62" s="5"/>
      <c r="I62" s="9"/>
      <c r="J62" s="5">
        <v>48</v>
      </c>
      <c r="K62" s="74">
        <f t="shared" si="4"/>
        <v>-0.22580645161290322</v>
      </c>
      <c r="L62" s="5">
        <v>1229</v>
      </c>
      <c r="M62" s="74">
        <f t="shared" si="5"/>
        <v>-0.1375438596491228</v>
      </c>
      <c r="N62" s="5"/>
      <c r="O62" s="9"/>
      <c r="P62" s="5"/>
      <c r="Q62" s="9"/>
      <c r="R62" s="5"/>
      <c r="S62" s="9"/>
    </row>
    <row r="63" spans="1:19" s="157" customFormat="1" ht="13.5" customHeight="1">
      <c r="A63" s="461"/>
      <c r="B63" s="15" t="s">
        <v>28</v>
      </c>
      <c r="C63" s="5">
        <v>932716</v>
      </c>
      <c r="D63" s="9">
        <v>-0.13500000000000001</v>
      </c>
      <c r="E63" s="178"/>
      <c r="F63" s="38">
        <v>11</v>
      </c>
      <c r="G63" s="9">
        <f t="shared" si="7"/>
        <v>-0.21428571428571427</v>
      </c>
      <c r="H63" s="5"/>
      <c r="I63" s="9"/>
      <c r="J63" s="5">
        <v>45</v>
      </c>
      <c r="K63" s="9">
        <f t="shared" si="4"/>
        <v>-0.375</v>
      </c>
      <c r="L63" s="5">
        <v>1365</v>
      </c>
      <c r="M63" s="9">
        <f t="shared" si="5"/>
        <v>-0.17522658610271905</v>
      </c>
      <c r="N63" s="5"/>
      <c r="O63" s="9"/>
      <c r="P63" s="5"/>
      <c r="Q63" s="9"/>
      <c r="R63" s="5"/>
      <c r="S63" s="9"/>
    </row>
    <row r="64" spans="1:19" s="157" customFormat="1" ht="13.5" customHeight="1">
      <c r="A64" s="461"/>
      <c r="B64" s="15" t="s">
        <v>29</v>
      </c>
      <c r="C64" s="5">
        <v>707012</v>
      </c>
      <c r="D64" s="9">
        <v>-0.34079999999999999</v>
      </c>
      <c r="E64" s="178"/>
      <c r="F64" s="38">
        <v>1</v>
      </c>
      <c r="G64" s="9">
        <f t="shared" si="7"/>
        <v>-0.8</v>
      </c>
      <c r="H64" s="5"/>
      <c r="I64" s="9"/>
      <c r="J64" s="5">
        <v>36</v>
      </c>
      <c r="K64" s="9">
        <f t="shared" si="4"/>
        <v>-0.5714285714285714</v>
      </c>
      <c r="L64" s="5">
        <v>998</v>
      </c>
      <c r="M64" s="9">
        <f t="shared" si="5"/>
        <v>-0.20096076861489193</v>
      </c>
      <c r="N64" s="5"/>
      <c r="O64" s="9"/>
      <c r="P64" s="5"/>
      <c r="Q64" s="9"/>
      <c r="R64" s="5"/>
      <c r="S64" s="9"/>
    </row>
    <row r="65" spans="1:19" s="157" customFormat="1" ht="13.5" customHeight="1">
      <c r="A65" s="462"/>
      <c r="B65" s="41" t="s">
        <v>30</v>
      </c>
      <c r="C65" s="42">
        <v>667564</v>
      </c>
      <c r="D65" s="19">
        <v>-0.38290000000000002</v>
      </c>
      <c r="E65" s="178"/>
      <c r="F65" s="46">
        <v>6</v>
      </c>
      <c r="G65" s="9">
        <f t="shared" si="7"/>
        <v>-0.625</v>
      </c>
      <c r="H65" s="42"/>
      <c r="I65" s="19"/>
      <c r="J65" s="42">
        <v>73</v>
      </c>
      <c r="K65" s="9">
        <f t="shared" si="4"/>
        <v>1.0857142857142856</v>
      </c>
      <c r="L65" s="42">
        <v>1232</v>
      </c>
      <c r="M65" s="9">
        <f t="shared" si="5"/>
        <v>-0.25917017438364404</v>
      </c>
      <c r="N65" s="42"/>
      <c r="O65" s="19"/>
      <c r="P65" s="42"/>
      <c r="Q65" s="19"/>
      <c r="R65" s="42"/>
      <c r="S65" s="19"/>
    </row>
    <row r="66" spans="1:19" s="157" customFormat="1" ht="13.5" customHeight="1">
      <c r="A66" s="457" t="s">
        <v>184</v>
      </c>
      <c r="B66" s="2" t="s">
        <v>170</v>
      </c>
      <c r="C66" s="25">
        <v>812901</v>
      </c>
      <c r="D66" s="24">
        <v>-0.38600000000000001</v>
      </c>
      <c r="E66" s="178"/>
      <c r="F66" s="25">
        <v>13</v>
      </c>
      <c r="G66" s="24">
        <f>(F66/F54-1)</f>
        <v>1.6</v>
      </c>
      <c r="H66" s="25"/>
      <c r="I66" s="24"/>
      <c r="J66" s="25">
        <v>91</v>
      </c>
      <c r="K66" s="24">
        <f>(J66/J54-1)</f>
        <v>-0.16513761467889909</v>
      </c>
      <c r="L66" s="25">
        <v>1418</v>
      </c>
      <c r="M66" s="24">
        <f>(L66/L54-1)</f>
        <v>-0.48285922684172133</v>
      </c>
      <c r="N66" s="25"/>
      <c r="O66" s="24"/>
      <c r="P66" s="25"/>
      <c r="Q66" s="24"/>
      <c r="R66" s="25"/>
      <c r="S66" s="24"/>
    </row>
    <row r="67" spans="1:19" s="157" customFormat="1" ht="13.5" customHeight="1">
      <c r="A67" s="461"/>
      <c r="B67" s="15" t="s">
        <v>171</v>
      </c>
      <c r="C67" s="5">
        <v>753642</v>
      </c>
      <c r="D67" s="9">
        <v>-0.33500000000000002</v>
      </c>
      <c r="E67" s="178"/>
      <c r="F67" s="5">
        <v>22</v>
      </c>
      <c r="G67" s="9">
        <f>(F67/F55-1)</f>
        <v>-0.46341463414634143</v>
      </c>
      <c r="H67" s="5"/>
      <c r="I67" s="9"/>
      <c r="J67" s="5">
        <v>69</v>
      </c>
      <c r="K67" s="9">
        <f>(J67/J55-1)</f>
        <v>-0.47328244274809161</v>
      </c>
      <c r="L67" s="5">
        <v>1055</v>
      </c>
      <c r="M67" s="9">
        <f>(L67/L55-1)</f>
        <v>-0.41192865105908583</v>
      </c>
      <c r="N67" s="5"/>
      <c r="O67" s="9"/>
      <c r="P67" s="5"/>
      <c r="Q67" s="9"/>
      <c r="R67" s="5"/>
      <c r="S67" s="9"/>
    </row>
    <row r="68" spans="1:19" s="157" customFormat="1" ht="13.5" customHeight="1">
      <c r="A68" s="461"/>
      <c r="B68" s="15" t="s">
        <v>21</v>
      </c>
      <c r="C68" s="5">
        <v>702043</v>
      </c>
      <c r="D68" s="9">
        <v>-0.28599999999999998</v>
      </c>
      <c r="E68" s="178"/>
      <c r="F68" s="5">
        <v>1</v>
      </c>
      <c r="G68" s="9">
        <f>(F68/F56-1)</f>
        <v>-0.5</v>
      </c>
      <c r="H68" s="5"/>
      <c r="I68" s="9"/>
      <c r="J68" s="5">
        <v>87</v>
      </c>
      <c r="K68" s="9">
        <f>(J68/J56-1)</f>
        <v>6.0975609756097615E-2</v>
      </c>
      <c r="L68" s="61">
        <v>990</v>
      </c>
      <c r="M68" s="9">
        <f>(L68/L56-1)</f>
        <v>-0.42139099941554647</v>
      </c>
      <c r="N68" s="5"/>
      <c r="O68" s="9"/>
      <c r="P68" s="5"/>
      <c r="Q68" s="9"/>
      <c r="R68" s="5"/>
      <c r="S68" s="9"/>
    </row>
    <row r="69" spans="1:19" s="157" customFormat="1" ht="13.5" customHeight="1">
      <c r="A69" s="461"/>
      <c r="B69" s="15" t="s">
        <v>22</v>
      </c>
      <c r="C69" s="5">
        <v>734681</v>
      </c>
      <c r="D69" s="9">
        <v>-0.28399999999999997</v>
      </c>
      <c r="E69" s="178"/>
      <c r="F69" s="5">
        <v>1</v>
      </c>
      <c r="G69" s="9">
        <f>(F69/F57-1)</f>
        <v>-0.8</v>
      </c>
      <c r="H69" s="5"/>
      <c r="I69" s="9"/>
      <c r="J69" s="5">
        <v>78</v>
      </c>
      <c r="K69" s="9">
        <f>(J69/J57-1)</f>
        <v>14.6</v>
      </c>
      <c r="L69" s="5">
        <v>964</v>
      </c>
      <c r="M69" s="9">
        <f>(L69/L57-1)</f>
        <v>-0.40346534653465349</v>
      </c>
      <c r="N69" s="5"/>
      <c r="O69" s="9"/>
      <c r="P69" s="5"/>
      <c r="Q69" s="9"/>
      <c r="R69" s="5"/>
      <c r="S69" s="9"/>
    </row>
    <row r="70" spans="1:19" s="157" customFormat="1" ht="13.5" customHeight="1">
      <c r="A70" s="461"/>
      <c r="B70" s="15" t="s">
        <v>23</v>
      </c>
      <c r="C70" s="5">
        <v>737396</v>
      </c>
      <c r="D70" s="9">
        <v>-0.33</v>
      </c>
      <c r="E70" s="178"/>
      <c r="F70" s="5">
        <v>3</v>
      </c>
      <c r="G70" s="9">
        <v>5.8000000000000003E-2</v>
      </c>
      <c r="H70" s="5"/>
      <c r="I70" s="9"/>
      <c r="J70" s="5">
        <v>80</v>
      </c>
      <c r="K70" s="9">
        <v>5.8000000000000003E-2</v>
      </c>
      <c r="L70" s="5">
        <v>898</v>
      </c>
      <c r="M70" s="9">
        <v>5.8000000000000003E-2</v>
      </c>
      <c r="N70" s="5"/>
      <c r="O70" s="9"/>
      <c r="P70" s="5"/>
      <c r="Q70" s="9"/>
      <c r="R70" s="5"/>
      <c r="S70" s="9"/>
    </row>
    <row r="71" spans="1:19" s="157" customFormat="1" ht="13.5" customHeight="1">
      <c r="A71" s="461"/>
      <c r="B71" s="15" t="s">
        <v>24</v>
      </c>
      <c r="C71" s="5">
        <v>731137</v>
      </c>
      <c r="D71" s="9">
        <v>-0.27200000000000002</v>
      </c>
      <c r="E71" s="178"/>
      <c r="F71" s="5">
        <v>7</v>
      </c>
      <c r="G71" s="9">
        <f t="shared" ref="G71:G76" si="8">(F71-F59)/F59</f>
        <v>0.16666666666666666</v>
      </c>
      <c r="H71" s="5"/>
      <c r="I71" s="9"/>
      <c r="J71" s="5">
        <v>155</v>
      </c>
      <c r="K71" s="9">
        <f t="shared" ref="K71:K89" si="9">(J71-J59)/J59</f>
        <v>10.923076923076923</v>
      </c>
      <c r="L71" s="5">
        <v>1231</v>
      </c>
      <c r="M71" s="9">
        <f t="shared" ref="M71:M89" si="10">(L71-L59)/L59</f>
        <v>-0.11502516175413371</v>
      </c>
      <c r="N71" s="5"/>
      <c r="O71" s="9"/>
      <c r="P71" s="5"/>
      <c r="Q71" s="9"/>
      <c r="R71" s="5"/>
      <c r="S71" s="9"/>
    </row>
    <row r="72" spans="1:19" s="157" customFormat="1" ht="13.5" customHeight="1">
      <c r="A72" s="461"/>
      <c r="B72" s="15" t="s">
        <v>25</v>
      </c>
      <c r="C72" s="5">
        <v>996695</v>
      </c>
      <c r="D72" s="9">
        <v>-0.123</v>
      </c>
      <c r="E72" s="178"/>
      <c r="F72" s="5">
        <v>6</v>
      </c>
      <c r="G72" s="9">
        <f t="shared" si="8"/>
        <v>-0.14285714285714285</v>
      </c>
      <c r="H72" s="5"/>
      <c r="I72" s="9"/>
      <c r="J72" s="5">
        <v>177</v>
      </c>
      <c r="K72" s="9">
        <f t="shared" si="9"/>
        <v>0.19594594594594594</v>
      </c>
      <c r="L72" s="5">
        <v>1568</v>
      </c>
      <c r="M72" s="9">
        <f t="shared" si="10"/>
        <v>-0.39318885448916407</v>
      </c>
      <c r="N72" s="5"/>
      <c r="O72" s="9"/>
      <c r="P72" s="5"/>
      <c r="Q72" s="9"/>
      <c r="R72" s="5"/>
      <c r="S72" s="9"/>
    </row>
    <row r="73" spans="1:19" s="157" customFormat="1" ht="13.5" customHeight="1">
      <c r="A73" s="461"/>
      <c r="B73" s="15" t="s">
        <v>26</v>
      </c>
      <c r="C73" s="5">
        <v>1041527</v>
      </c>
      <c r="D73" s="9">
        <v>-0.105</v>
      </c>
      <c r="E73" s="178"/>
      <c r="F73" s="5">
        <v>1</v>
      </c>
      <c r="G73" s="9">
        <f t="shared" si="8"/>
        <v>-0.8</v>
      </c>
      <c r="H73" s="5"/>
      <c r="I73" s="9"/>
      <c r="J73" s="5">
        <v>97</v>
      </c>
      <c r="K73" s="9">
        <f t="shared" si="9"/>
        <v>-6.7307692307692304E-2</v>
      </c>
      <c r="L73" s="5">
        <v>1621</v>
      </c>
      <c r="M73" s="9">
        <f t="shared" si="10"/>
        <v>-0.26751016719385451</v>
      </c>
      <c r="N73" s="5"/>
      <c r="O73" s="9"/>
      <c r="P73" s="5"/>
      <c r="Q73" s="9"/>
      <c r="R73" s="5"/>
      <c r="S73" s="9"/>
    </row>
    <row r="74" spans="1:19" s="157" customFormat="1" ht="13.5" customHeight="1">
      <c r="A74" s="461"/>
      <c r="B74" s="15" t="s">
        <v>27</v>
      </c>
      <c r="C74" s="5">
        <v>658487</v>
      </c>
      <c r="D74" s="9">
        <v>-0.19600000000000001</v>
      </c>
      <c r="E74" s="178"/>
      <c r="F74" s="5">
        <v>4</v>
      </c>
      <c r="G74" s="9">
        <f t="shared" si="8"/>
        <v>3</v>
      </c>
      <c r="H74" s="5"/>
      <c r="I74" s="9"/>
      <c r="J74" s="5">
        <v>72</v>
      </c>
      <c r="K74" s="9">
        <f t="shared" si="9"/>
        <v>0.5</v>
      </c>
      <c r="L74" s="5">
        <v>1032</v>
      </c>
      <c r="M74" s="9">
        <f t="shared" si="10"/>
        <v>-0.16029292107404394</v>
      </c>
      <c r="N74" s="5"/>
      <c r="O74" s="9"/>
      <c r="P74" s="5"/>
      <c r="Q74" s="9"/>
      <c r="R74" s="5"/>
      <c r="S74" s="9"/>
    </row>
    <row r="75" spans="1:19" s="157" customFormat="1" ht="13.5" customHeight="1">
      <c r="A75" s="461"/>
      <c r="B75" s="15" t="s">
        <v>28</v>
      </c>
      <c r="C75" s="5">
        <v>714880</v>
      </c>
      <c r="D75" s="9">
        <v>-0.23400000000000001</v>
      </c>
      <c r="E75" s="178"/>
      <c r="F75" s="5">
        <v>6</v>
      </c>
      <c r="G75" s="9">
        <f t="shared" si="8"/>
        <v>-0.45454545454545453</v>
      </c>
      <c r="H75" s="5"/>
      <c r="I75" s="9"/>
      <c r="J75" s="5">
        <v>51</v>
      </c>
      <c r="K75" s="9">
        <f t="shared" si="9"/>
        <v>0.13333333333333333</v>
      </c>
      <c r="L75" s="5">
        <v>949</v>
      </c>
      <c r="M75" s="9">
        <f t="shared" si="10"/>
        <v>-0.30476190476190479</v>
      </c>
      <c r="N75" s="5"/>
      <c r="O75" s="9"/>
      <c r="P75" s="5"/>
      <c r="Q75" s="9"/>
      <c r="R75" s="5"/>
      <c r="S75" s="9"/>
    </row>
    <row r="76" spans="1:19" s="157" customFormat="1" ht="13.5" customHeight="1">
      <c r="A76" s="461"/>
      <c r="B76" s="15" t="s">
        <v>29</v>
      </c>
      <c r="C76" s="5">
        <v>721940</v>
      </c>
      <c r="D76" s="9">
        <v>2.1000000000000001E-2</v>
      </c>
      <c r="E76" s="178"/>
      <c r="F76" s="5">
        <v>19</v>
      </c>
      <c r="G76" s="9">
        <f t="shared" si="8"/>
        <v>18</v>
      </c>
      <c r="H76" s="5"/>
      <c r="I76" s="9"/>
      <c r="J76" s="5">
        <v>81</v>
      </c>
      <c r="K76" s="9">
        <f t="shared" si="9"/>
        <v>1.25</v>
      </c>
      <c r="L76" s="5">
        <v>1259</v>
      </c>
      <c r="M76" s="9">
        <f t="shared" si="10"/>
        <v>0.26152304609218435</v>
      </c>
      <c r="N76" s="5"/>
      <c r="O76" s="9"/>
      <c r="P76" s="5"/>
      <c r="Q76" s="9"/>
      <c r="R76" s="5"/>
      <c r="S76" s="9"/>
    </row>
    <row r="77" spans="1:19" s="157" customFormat="1" ht="13.5" customHeight="1">
      <c r="A77" s="462"/>
      <c r="B77" s="41" t="s">
        <v>30</v>
      </c>
      <c r="C77" s="5">
        <v>888782</v>
      </c>
      <c r="D77" s="9">
        <v>0.33100000000000002</v>
      </c>
      <c r="E77" s="178"/>
      <c r="F77" s="5">
        <v>1</v>
      </c>
      <c r="G77" s="19">
        <f>(F77-F65)/F65</f>
        <v>-0.83333333333333337</v>
      </c>
      <c r="H77" s="5"/>
      <c r="I77" s="9"/>
      <c r="J77" s="5">
        <v>93</v>
      </c>
      <c r="K77" s="19">
        <f t="shared" si="9"/>
        <v>0.27397260273972601</v>
      </c>
      <c r="L77" s="5">
        <v>1421</v>
      </c>
      <c r="M77" s="19">
        <f>(L77-L65)/L65</f>
        <v>0.15340909090909091</v>
      </c>
      <c r="N77" s="5"/>
      <c r="O77" s="9"/>
      <c r="P77" s="5"/>
      <c r="Q77" s="9"/>
      <c r="R77" s="5"/>
      <c r="S77" s="9"/>
    </row>
    <row r="78" spans="1:19" s="157" customFormat="1" ht="13.5" customHeight="1">
      <c r="A78" s="457" t="s">
        <v>185</v>
      </c>
      <c r="B78" s="62" t="s">
        <v>170</v>
      </c>
      <c r="C78" s="23">
        <v>1118261</v>
      </c>
      <c r="D78" s="24">
        <v>0.376</v>
      </c>
      <c r="E78" s="178"/>
      <c r="F78" s="23">
        <v>16</v>
      </c>
      <c r="G78" s="9">
        <f t="shared" ref="G78:G89" si="11">(F78-F66)/F66</f>
        <v>0.23076923076923078</v>
      </c>
      <c r="H78" s="23"/>
      <c r="I78" s="24"/>
      <c r="J78" s="25">
        <v>115</v>
      </c>
      <c r="K78" s="9">
        <f t="shared" si="9"/>
        <v>0.26373626373626374</v>
      </c>
      <c r="L78" s="23">
        <v>2225</v>
      </c>
      <c r="M78" s="9">
        <f t="shared" si="10"/>
        <v>0.5691114245416079</v>
      </c>
      <c r="N78" s="23"/>
      <c r="O78" s="24"/>
      <c r="P78" s="23"/>
      <c r="Q78" s="24"/>
      <c r="R78" s="23"/>
      <c r="S78" s="24"/>
    </row>
    <row r="79" spans="1:19" s="157" customFormat="1" ht="13.5" customHeight="1">
      <c r="A79" s="461"/>
      <c r="B79" s="62" t="s">
        <v>171</v>
      </c>
      <c r="C79" s="3">
        <v>908103</v>
      </c>
      <c r="D79" s="9">
        <v>0.20499999999999999</v>
      </c>
      <c r="E79" s="178"/>
      <c r="F79" s="3">
        <v>42</v>
      </c>
      <c r="G79" s="9">
        <f t="shared" si="11"/>
        <v>0.90909090909090906</v>
      </c>
      <c r="H79" s="3"/>
      <c r="I79" s="9"/>
      <c r="J79" s="5">
        <v>68</v>
      </c>
      <c r="K79" s="9">
        <f t="shared" si="9"/>
        <v>-1.4492753623188406E-2</v>
      </c>
      <c r="L79" s="3">
        <v>1095</v>
      </c>
      <c r="M79" s="9">
        <f t="shared" si="10"/>
        <v>3.7914691943127965E-2</v>
      </c>
      <c r="N79" s="3"/>
      <c r="O79" s="9"/>
      <c r="P79" s="3"/>
      <c r="Q79" s="9"/>
      <c r="R79" s="3"/>
      <c r="S79" s="9"/>
    </row>
    <row r="80" spans="1:19" s="157" customFormat="1" ht="13.5" customHeight="1">
      <c r="A80" s="461"/>
      <c r="B80" s="62" t="s">
        <v>174</v>
      </c>
      <c r="C80" s="3">
        <v>950185</v>
      </c>
      <c r="D80" s="9">
        <v>0.35299999999999998</v>
      </c>
      <c r="E80" s="178"/>
      <c r="F80" s="3">
        <v>5</v>
      </c>
      <c r="G80" s="9">
        <f t="shared" si="11"/>
        <v>4</v>
      </c>
      <c r="H80" s="3"/>
      <c r="I80" s="9"/>
      <c r="J80" s="5">
        <v>111</v>
      </c>
      <c r="K80" s="9">
        <f t="shared" si="9"/>
        <v>0.27586206896551724</v>
      </c>
      <c r="L80" s="3">
        <v>1034</v>
      </c>
      <c r="M80" s="9">
        <f t="shared" si="10"/>
        <v>4.4444444444444446E-2</v>
      </c>
      <c r="N80" s="3"/>
      <c r="O80" s="9"/>
      <c r="P80" s="3"/>
      <c r="Q80" s="9"/>
      <c r="R80" s="3"/>
      <c r="S80" s="9"/>
    </row>
    <row r="81" spans="1:19" s="157" customFormat="1" ht="13.5" customHeight="1">
      <c r="A81" s="461"/>
      <c r="B81" s="62" t="s">
        <v>175</v>
      </c>
      <c r="C81" s="3">
        <v>935904</v>
      </c>
      <c r="D81" s="9">
        <v>0.27400000000000002</v>
      </c>
      <c r="E81" s="178"/>
      <c r="F81" s="3">
        <v>22</v>
      </c>
      <c r="G81" s="74">
        <f t="shared" si="11"/>
        <v>21</v>
      </c>
      <c r="H81" s="3"/>
      <c r="I81" s="9"/>
      <c r="J81" s="3">
        <v>94</v>
      </c>
      <c r="K81" s="74">
        <f t="shared" si="9"/>
        <v>0.20512820512820512</v>
      </c>
      <c r="L81" s="5">
        <v>927</v>
      </c>
      <c r="M81" s="74">
        <f t="shared" si="10"/>
        <v>-3.8381742738589214E-2</v>
      </c>
      <c r="N81" s="3"/>
      <c r="O81" s="9"/>
      <c r="P81" s="3"/>
      <c r="Q81" s="9"/>
      <c r="R81" s="3"/>
      <c r="S81" s="9"/>
    </row>
    <row r="82" spans="1:19" s="157" customFormat="1" ht="13.5" customHeight="1">
      <c r="A82" s="461"/>
      <c r="B82" s="62" t="s">
        <v>176</v>
      </c>
      <c r="C82" s="3">
        <v>1023815</v>
      </c>
      <c r="D82" s="9">
        <v>0.38800000000000001</v>
      </c>
      <c r="E82" s="178"/>
      <c r="F82" s="3">
        <v>6</v>
      </c>
      <c r="G82" s="9">
        <f t="shared" si="11"/>
        <v>1</v>
      </c>
      <c r="H82" s="3"/>
      <c r="I82" s="9"/>
      <c r="J82" s="3">
        <v>123</v>
      </c>
      <c r="K82" s="9">
        <f t="shared" si="9"/>
        <v>0.53749999999999998</v>
      </c>
      <c r="L82" s="5">
        <v>1333</v>
      </c>
      <c r="M82" s="9">
        <f t="shared" si="10"/>
        <v>0.4844097995545657</v>
      </c>
      <c r="N82" s="3"/>
      <c r="O82" s="9"/>
      <c r="P82" s="3"/>
      <c r="Q82" s="9"/>
      <c r="R82" s="3"/>
      <c r="S82" s="9"/>
    </row>
    <row r="83" spans="1:19" s="157" customFormat="1" ht="13.5" customHeight="1">
      <c r="A83" s="461"/>
      <c r="B83" s="62" t="s">
        <v>177</v>
      </c>
      <c r="C83" s="3">
        <v>997597</v>
      </c>
      <c r="D83" s="9">
        <v>0.36399999999999999</v>
      </c>
      <c r="E83" s="178"/>
      <c r="F83" s="3">
        <v>12</v>
      </c>
      <c r="G83" s="74">
        <f t="shared" si="11"/>
        <v>0.7142857142857143</v>
      </c>
      <c r="H83" s="3"/>
      <c r="I83" s="9"/>
      <c r="J83" s="3">
        <v>83</v>
      </c>
      <c r="K83" s="74">
        <f t="shared" si="9"/>
        <v>-0.46451612903225808</v>
      </c>
      <c r="L83" s="5">
        <v>2554</v>
      </c>
      <c r="M83" s="74">
        <f t="shared" si="10"/>
        <v>1.0747359870024371</v>
      </c>
      <c r="N83" s="3"/>
      <c r="O83" s="9"/>
      <c r="P83" s="3"/>
      <c r="Q83" s="9"/>
      <c r="R83" s="3"/>
      <c r="S83" s="9"/>
    </row>
    <row r="84" spans="1:19" s="157" customFormat="1" ht="13.5" customHeight="1">
      <c r="A84" s="461"/>
      <c r="B84" s="62" t="s">
        <v>178</v>
      </c>
      <c r="C84" s="3">
        <v>1223723</v>
      </c>
      <c r="D84" s="9">
        <v>0.22800000000000001</v>
      </c>
      <c r="E84" s="178"/>
      <c r="F84" s="3">
        <v>25</v>
      </c>
      <c r="G84" s="9">
        <f t="shared" si="11"/>
        <v>3.1666666666666665</v>
      </c>
      <c r="H84" s="3"/>
      <c r="I84" s="9"/>
      <c r="J84" s="3">
        <v>137</v>
      </c>
      <c r="K84" s="9">
        <f t="shared" si="9"/>
        <v>-0.22598870056497175</v>
      </c>
      <c r="L84" s="5">
        <v>1539</v>
      </c>
      <c r="M84" s="9">
        <f t="shared" si="10"/>
        <v>-1.8494897959183673E-2</v>
      </c>
      <c r="N84" s="3"/>
      <c r="O84" s="9"/>
      <c r="P84" s="3"/>
      <c r="Q84" s="9"/>
      <c r="R84" s="3"/>
      <c r="S84" s="9"/>
    </row>
    <row r="85" spans="1:19" s="157" customFormat="1" ht="13.5" customHeight="1">
      <c r="A85" s="461"/>
      <c r="B85" s="62" t="s">
        <v>179</v>
      </c>
      <c r="C85" s="3">
        <v>1235742</v>
      </c>
      <c r="D85" s="9">
        <v>0.186</v>
      </c>
      <c r="E85" s="178"/>
      <c r="F85" s="3">
        <v>16</v>
      </c>
      <c r="G85" s="74">
        <f t="shared" si="11"/>
        <v>15</v>
      </c>
      <c r="H85" s="3"/>
      <c r="I85" s="9"/>
      <c r="J85" s="3">
        <v>130</v>
      </c>
      <c r="K85" s="74">
        <f t="shared" si="9"/>
        <v>0.34020618556701032</v>
      </c>
      <c r="L85" s="5">
        <v>1876</v>
      </c>
      <c r="M85" s="74">
        <f t="shared" si="10"/>
        <v>0.15731030228254164</v>
      </c>
      <c r="N85" s="3"/>
      <c r="O85" s="9"/>
      <c r="P85" s="3"/>
      <c r="Q85" s="9"/>
      <c r="R85" s="3"/>
      <c r="S85" s="9"/>
    </row>
    <row r="86" spans="1:19" s="157" customFormat="1" ht="13.5" customHeight="1">
      <c r="A86" s="461"/>
      <c r="B86" s="62" t="s">
        <v>180</v>
      </c>
      <c r="C86" s="3">
        <v>1013123</v>
      </c>
      <c r="D86" s="9">
        <v>0.53900000000000003</v>
      </c>
      <c r="E86" s="178"/>
      <c r="F86" s="3">
        <v>9</v>
      </c>
      <c r="G86" s="74">
        <f t="shared" si="11"/>
        <v>1.25</v>
      </c>
      <c r="H86" s="3"/>
      <c r="I86" s="9"/>
      <c r="J86" s="3">
        <v>65</v>
      </c>
      <c r="K86" s="74">
        <f t="shared" si="9"/>
        <v>-9.7222222222222224E-2</v>
      </c>
      <c r="L86" s="5">
        <v>1371</v>
      </c>
      <c r="M86" s="74">
        <f t="shared" si="10"/>
        <v>0.32848837209302323</v>
      </c>
      <c r="N86" s="3"/>
      <c r="O86" s="9"/>
      <c r="P86" s="3"/>
      <c r="Q86" s="9"/>
      <c r="R86" s="3"/>
      <c r="S86" s="9"/>
    </row>
    <row r="87" spans="1:19" s="157" customFormat="1" ht="13.5" customHeight="1">
      <c r="A87" s="461"/>
      <c r="B87" s="62" t="s">
        <v>181</v>
      </c>
      <c r="C87" s="3">
        <v>1055581</v>
      </c>
      <c r="D87" s="9">
        <v>0.47699999999999998</v>
      </c>
      <c r="E87" s="178"/>
      <c r="F87" s="3">
        <v>21</v>
      </c>
      <c r="G87" s="9">
        <f t="shared" si="11"/>
        <v>2.5</v>
      </c>
      <c r="H87" s="3"/>
      <c r="I87" s="9"/>
      <c r="J87" s="3">
        <v>53</v>
      </c>
      <c r="K87" s="9">
        <f t="shared" si="9"/>
        <v>3.9215686274509803E-2</v>
      </c>
      <c r="L87" s="5">
        <v>1175</v>
      </c>
      <c r="M87" s="9">
        <f t="shared" si="10"/>
        <v>0.23814541622760801</v>
      </c>
      <c r="N87" s="3"/>
      <c r="O87" s="9"/>
      <c r="P87" s="3"/>
      <c r="Q87" s="9"/>
      <c r="R87" s="3"/>
      <c r="S87" s="9"/>
    </row>
    <row r="88" spans="1:19" s="157" customFormat="1" ht="13.5" customHeight="1">
      <c r="A88" s="461"/>
      <c r="B88" s="62" t="s">
        <v>186</v>
      </c>
      <c r="C88" s="3">
        <v>1004902</v>
      </c>
      <c r="D88" s="9">
        <v>0.39200000000000002</v>
      </c>
      <c r="E88" s="178"/>
      <c r="F88" s="3">
        <v>17</v>
      </c>
      <c r="G88" s="9">
        <f t="shared" si="11"/>
        <v>-0.10526315789473684</v>
      </c>
      <c r="H88" s="3"/>
      <c r="I88" s="9"/>
      <c r="J88" s="3">
        <v>70</v>
      </c>
      <c r="K88" s="9">
        <f t="shared" si="9"/>
        <v>-0.13580246913580246</v>
      </c>
      <c r="L88" s="5">
        <v>1142</v>
      </c>
      <c r="M88" s="9">
        <f t="shared" si="10"/>
        <v>-9.293089753772836E-2</v>
      </c>
      <c r="N88" s="3"/>
      <c r="O88" s="9"/>
      <c r="P88" s="3"/>
      <c r="Q88" s="9"/>
      <c r="R88" s="3"/>
      <c r="S88" s="9"/>
    </row>
    <row r="89" spans="1:19" s="157" customFormat="1" ht="13.5" customHeight="1">
      <c r="A89" s="462"/>
      <c r="B89" s="41" t="s">
        <v>182</v>
      </c>
      <c r="C89" s="3">
        <v>1021428</v>
      </c>
      <c r="D89" s="9">
        <v>0.14899999999999999</v>
      </c>
      <c r="E89" s="178"/>
      <c r="F89" s="3">
        <v>23</v>
      </c>
      <c r="G89" s="9">
        <f t="shared" si="11"/>
        <v>22</v>
      </c>
      <c r="H89" s="3"/>
      <c r="I89" s="9"/>
      <c r="J89" s="5">
        <v>87</v>
      </c>
      <c r="K89" s="9">
        <f t="shared" si="9"/>
        <v>-6.4516129032258063E-2</v>
      </c>
      <c r="L89" s="5">
        <v>1248</v>
      </c>
      <c r="M89" s="9">
        <f t="shared" si="10"/>
        <v>-0.12174524982406756</v>
      </c>
      <c r="N89" s="3"/>
      <c r="O89" s="9"/>
      <c r="P89" s="3"/>
      <c r="Q89" s="9"/>
      <c r="R89" s="3"/>
      <c r="S89" s="9"/>
    </row>
    <row r="90" spans="1:19" s="157" customFormat="1" ht="13.5" customHeight="1">
      <c r="A90" s="457" t="s">
        <v>187</v>
      </c>
      <c r="B90" s="2" t="s">
        <v>170</v>
      </c>
      <c r="C90" s="25">
        <v>1268007</v>
      </c>
      <c r="D90" s="24">
        <v>0.13400000000000001</v>
      </c>
      <c r="E90" s="178"/>
      <c r="F90" s="29">
        <v>30</v>
      </c>
      <c r="G90" s="24">
        <f>(F90/F78-1)</f>
        <v>0.875</v>
      </c>
      <c r="H90" s="411">
        <v>277</v>
      </c>
      <c r="I90" s="24"/>
      <c r="J90" s="25">
        <v>133</v>
      </c>
      <c r="K90" s="24">
        <f>(J90/J78-1)</f>
        <v>0.15652173913043477</v>
      </c>
      <c r="L90" s="25">
        <v>1945</v>
      </c>
      <c r="M90" s="24">
        <f>(L90/L78-1)</f>
        <v>-0.12584269662921344</v>
      </c>
      <c r="N90" s="25"/>
      <c r="O90" s="24"/>
      <c r="P90" s="411">
        <v>277</v>
      </c>
      <c r="Q90" s="24"/>
      <c r="R90" s="29"/>
      <c r="S90" s="24"/>
    </row>
    <row r="91" spans="1:19" s="157" customFormat="1" ht="13.5" customHeight="1">
      <c r="A91" s="461"/>
      <c r="B91" s="15" t="s">
        <v>171</v>
      </c>
      <c r="C91" s="5">
        <v>1091628</v>
      </c>
      <c r="D91" s="9">
        <f t="shared" ref="D91:D125" si="12">(C91-C79)/C79</f>
        <v>0.20209711893915117</v>
      </c>
      <c r="E91" s="178"/>
      <c r="F91" s="38">
        <v>37</v>
      </c>
      <c r="G91" s="9">
        <f>(F91/F79-1)</f>
        <v>-0.11904761904761907</v>
      </c>
      <c r="H91" s="412"/>
      <c r="I91" s="9"/>
      <c r="J91" s="5">
        <v>75</v>
      </c>
      <c r="K91" s="9">
        <f>(J91/J79-1)</f>
        <v>0.10294117647058831</v>
      </c>
      <c r="L91" s="5">
        <v>1236</v>
      </c>
      <c r="M91" s="9">
        <f>(L91/L79-1)</f>
        <v>0.12876712328767126</v>
      </c>
      <c r="N91" s="5"/>
      <c r="O91" s="9"/>
      <c r="P91" s="412"/>
      <c r="Q91" s="9"/>
      <c r="R91" s="38"/>
      <c r="S91" s="9"/>
    </row>
    <row r="92" spans="1:19" s="157" customFormat="1" ht="13.5" customHeight="1">
      <c r="A92" s="461"/>
      <c r="B92" s="15" t="s">
        <v>21</v>
      </c>
      <c r="C92" s="5">
        <v>868694</v>
      </c>
      <c r="D92" s="9">
        <f t="shared" si="12"/>
        <v>-8.5763298726037565E-2</v>
      </c>
      <c r="E92" s="178"/>
      <c r="F92" s="38">
        <v>26</v>
      </c>
      <c r="G92" s="9">
        <f>(F92/F80-1)</f>
        <v>4.2</v>
      </c>
      <c r="H92" s="412"/>
      <c r="I92" s="9"/>
      <c r="J92" s="5">
        <v>60</v>
      </c>
      <c r="K92" s="9">
        <f>(J92/J80-1)</f>
        <v>-0.45945945945945943</v>
      </c>
      <c r="L92" s="61">
        <v>1134</v>
      </c>
      <c r="M92" s="9">
        <f>(L92/L80-1)</f>
        <v>9.6711798839458352E-2</v>
      </c>
      <c r="N92" s="5"/>
      <c r="O92" s="9"/>
      <c r="P92" s="412"/>
      <c r="Q92" s="9"/>
      <c r="R92" s="38"/>
      <c r="S92" s="9"/>
    </row>
    <row r="93" spans="1:19" s="157" customFormat="1" ht="13.5" customHeight="1">
      <c r="A93" s="461"/>
      <c r="B93" s="15" t="s">
        <v>22</v>
      </c>
      <c r="C93" s="5">
        <v>867487</v>
      </c>
      <c r="D93" s="9">
        <f t="shared" si="12"/>
        <v>-7.310258317092351E-2</v>
      </c>
      <c r="E93" s="178"/>
      <c r="F93" s="38">
        <v>25</v>
      </c>
      <c r="G93" s="9">
        <f>(F93/F81-1)</f>
        <v>0.13636363636363646</v>
      </c>
      <c r="H93" s="412">
        <v>294</v>
      </c>
      <c r="I93" s="9"/>
      <c r="J93" s="5">
        <v>96</v>
      </c>
      <c r="K93" s="9">
        <f>(J93/J81-1)</f>
        <v>2.1276595744680771E-2</v>
      </c>
      <c r="L93" s="5">
        <v>1057</v>
      </c>
      <c r="M93" s="9">
        <f>(L93/L81-1)</f>
        <v>0.14023732470334416</v>
      </c>
      <c r="N93" s="68"/>
      <c r="O93" s="9"/>
      <c r="P93" s="412">
        <v>294</v>
      </c>
      <c r="Q93" s="9"/>
      <c r="R93" s="38"/>
      <c r="S93" s="9"/>
    </row>
    <row r="94" spans="1:19" s="157" customFormat="1" ht="13.5" customHeight="1">
      <c r="A94" s="461"/>
      <c r="B94" s="15" t="s">
        <v>23</v>
      </c>
      <c r="C94" s="5">
        <v>1014409</v>
      </c>
      <c r="D94" s="9">
        <f t="shared" si="12"/>
        <v>-9.1872066730805859E-3</v>
      </c>
      <c r="E94" s="178"/>
      <c r="F94" s="38">
        <v>55</v>
      </c>
      <c r="G94" s="9">
        <v>5.8000000000000003E-2</v>
      </c>
      <c r="H94" s="412"/>
      <c r="I94" s="9"/>
      <c r="J94" s="5">
        <v>138</v>
      </c>
      <c r="K94" s="9">
        <v>5.8000000000000003E-2</v>
      </c>
      <c r="L94" s="5">
        <v>1186</v>
      </c>
      <c r="M94" s="9">
        <v>5.8000000000000003E-2</v>
      </c>
      <c r="N94" s="5"/>
      <c r="O94" s="9"/>
      <c r="P94" s="412"/>
      <c r="Q94" s="9"/>
      <c r="R94" s="38"/>
      <c r="S94" s="9"/>
    </row>
    <row r="95" spans="1:19" s="157" customFormat="1" ht="13.5" customHeight="1">
      <c r="A95" s="461"/>
      <c r="B95" s="15" t="s">
        <v>24</v>
      </c>
      <c r="C95" s="5">
        <v>1053658</v>
      </c>
      <c r="D95" s="9">
        <f t="shared" si="12"/>
        <v>5.619603908191384E-2</v>
      </c>
      <c r="E95" s="178"/>
      <c r="F95" s="38">
        <v>35</v>
      </c>
      <c r="G95" s="9">
        <f t="shared" ref="G95:G100" si="13">(F95-F83)/F83</f>
        <v>1.9166666666666667</v>
      </c>
      <c r="H95" s="412"/>
      <c r="I95" s="9"/>
      <c r="J95" s="5">
        <v>109</v>
      </c>
      <c r="K95" s="9">
        <f t="shared" ref="K95:K113" si="14">(J95-J83)/J83</f>
        <v>0.31325301204819278</v>
      </c>
      <c r="L95" s="5">
        <v>1454</v>
      </c>
      <c r="M95" s="9">
        <f t="shared" ref="M95:M116" si="15">(L95-L83)/L83</f>
        <v>-0.43069694596711039</v>
      </c>
      <c r="N95" s="68"/>
      <c r="O95" s="9"/>
      <c r="P95" s="412"/>
      <c r="Q95" s="9"/>
      <c r="R95" s="38"/>
      <c r="S95" s="9"/>
    </row>
    <row r="96" spans="1:19" s="157" customFormat="1" ht="13.5" customHeight="1">
      <c r="A96" s="461"/>
      <c r="B96" s="15" t="s">
        <v>25</v>
      </c>
      <c r="C96" s="5">
        <v>1241629</v>
      </c>
      <c r="D96" s="9">
        <f t="shared" si="12"/>
        <v>1.4632396383822155E-2</v>
      </c>
      <c r="E96" s="178"/>
      <c r="F96" s="38">
        <v>41</v>
      </c>
      <c r="G96" s="9">
        <f t="shared" si="13"/>
        <v>0.64</v>
      </c>
      <c r="H96" s="412">
        <v>644</v>
      </c>
      <c r="I96" s="9"/>
      <c r="J96" s="5">
        <v>142</v>
      </c>
      <c r="K96" s="9">
        <f t="shared" si="14"/>
        <v>3.6496350364963501E-2</v>
      </c>
      <c r="L96" s="5">
        <v>3031</v>
      </c>
      <c r="M96" s="9">
        <f t="shared" si="15"/>
        <v>0.96946068875893432</v>
      </c>
      <c r="N96" s="68"/>
      <c r="O96" s="9"/>
      <c r="P96" s="412">
        <v>644</v>
      </c>
      <c r="Q96" s="9"/>
      <c r="R96" s="38"/>
      <c r="S96" s="9"/>
    </row>
    <row r="97" spans="1:19" s="157" customFormat="1" ht="13.5" customHeight="1">
      <c r="A97" s="461"/>
      <c r="B97" s="15" t="s">
        <v>26</v>
      </c>
      <c r="C97" s="5">
        <v>1247222</v>
      </c>
      <c r="D97" s="9">
        <f t="shared" si="12"/>
        <v>9.2899650574310814E-3</v>
      </c>
      <c r="E97" s="178"/>
      <c r="F97" s="38">
        <v>17</v>
      </c>
      <c r="G97" s="9">
        <f t="shared" si="13"/>
        <v>6.25E-2</v>
      </c>
      <c r="H97" s="412"/>
      <c r="I97" s="9"/>
      <c r="J97" s="5">
        <v>137</v>
      </c>
      <c r="K97" s="9">
        <f t="shared" si="14"/>
        <v>5.3846153846153849E-2</v>
      </c>
      <c r="L97" s="5">
        <v>1707</v>
      </c>
      <c r="M97" s="9">
        <f t="shared" si="15"/>
        <v>-9.0085287846481871E-2</v>
      </c>
      <c r="N97" s="5"/>
      <c r="O97" s="9"/>
      <c r="P97" s="412"/>
      <c r="Q97" s="9"/>
      <c r="R97" s="38"/>
      <c r="S97" s="9"/>
    </row>
    <row r="98" spans="1:19" s="157" customFormat="1" ht="13.5" customHeight="1">
      <c r="A98" s="461"/>
      <c r="B98" s="15" t="s">
        <v>27</v>
      </c>
      <c r="C98" s="5">
        <v>1013507</v>
      </c>
      <c r="D98" s="9">
        <f t="shared" si="12"/>
        <v>3.7902604126053798E-4</v>
      </c>
      <c r="E98" s="178"/>
      <c r="F98" s="38">
        <v>37</v>
      </c>
      <c r="G98" s="9">
        <f t="shared" si="13"/>
        <v>3.1111111111111112</v>
      </c>
      <c r="H98" s="412"/>
      <c r="I98" s="9"/>
      <c r="J98" s="5">
        <v>144</v>
      </c>
      <c r="K98" s="9">
        <f t="shared" si="14"/>
        <v>1.2153846153846153</v>
      </c>
      <c r="L98" s="5">
        <v>1194</v>
      </c>
      <c r="M98" s="9">
        <f t="shared" si="15"/>
        <v>-0.12910284463894967</v>
      </c>
      <c r="N98" s="68"/>
      <c r="O98" s="9"/>
      <c r="P98" s="412"/>
      <c r="Q98" s="9"/>
      <c r="R98" s="38"/>
      <c r="S98" s="9"/>
    </row>
    <row r="99" spans="1:19" s="157" customFormat="1" ht="13.5" customHeight="1">
      <c r="A99" s="461"/>
      <c r="B99" s="15" t="s">
        <v>28</v>
      </c>
      <c r="C99" s="5">
        <v>1032589</v>
      </c>
      <c r="D99" s="9">
        <f t="shared" si="12"/>
        <v>-2.178136969119376E-2</v>
      </c>
      <c r="E99" s="178"/>
      <c r="F99" s="38">
        <v>32</v>
      </c>
      <c r="G99" s="9">
        <f t="shared" si="13"/>
        <v>0.52380952380952384</v>
      </c>
      <c r="H99" s="412">
        <v>443</v>
      </c>
      <c r="I99" s="9"/>
      <c r="J99" s="5">
        <v>87</v>
      </c>
      <c r="K99" s="9">
        <f t="shared" si="14"/>
        <v>0.64150943396226412</v>
      </c>
      <c r="L99" s="5">
        <v>1193</v>
      </c>
      <c r="M99" s="9">
        <f t="shared" si="15"/>
        <v>1.5319148936170212E-2</v>
      </c>
      <c r="N99" s="5"/>
      <c r="O99" s="9"/>
      <c r="P99" s="412">
        <v>443</v>
      </c>
      <c r="Q99" s="9"/>
      <c r="R99" s="38"/>
      <c r="S99" s="9"/>
    </row>
    <row r="100" spans="1:19" s="157" customFormat="1" ht="13.5" customHeight="1">
      <c r="A100" s="461"/>
      <c r="B100" s="15" t="s">
        <v>29</v>
      </c>
      <c r="C100" s="5">
        <v>974255</v>
      </c>
      <c r="D100" s="9">
        <f t="shared" si="12"/>
        <v>-3.0497501248878001E-2</v>
      </c>
      <c r="E100" s="178"/>
      <c r="F100" s="38">
        <v>61</v>
      </c>
      <c r="G100" s="9">
        <f t="shared" si="13"/>
        <v>2.5882352941176472</v>
      </c>
      <c r="H100" s="412"/>
      <c r="I100" s="9"/>
      <c r="J100" s="5">
        <v>70</v>
      </c>
      <c r="K100" s="9">
        <f t="shared" si="14"/>
        <v>0</v>
      </c>
      <c r="L100" s="5">
        <v>1495</v>
      </c>
      <c r="M100" s="9">
        <f t="shared" si="15"/>
        <v>0.30910683012259194</v>
      </c>
      <c r="N100" s="5"/>
      <c r="O100" s="9"/>
      <c r="P100" s="412"/>
      <c r="Q100" s="9"/>
      <c r="R100" s="38"/>
      <c r="S100" s="9"/>
    </row>
    <row r="101" spans="1:19" s="157" customFormat="1" ht="13.5" customHeight="1">
      <c r="A101" s="462"/>
      <c r="B101" s="41" t="s">
        <v>30</v>
      </c>
      <c r="C101" s="5">
        <v>1020648</v>
      </c>
      <c r="D101" s="19">
        <f t="shared" si="12"/>
        <v>-7.6363679084575709E-4</v>
      </c>
      <c r="E101" s="178"/>
      <c r="F101" s="46">
        <v>76</v>
      </c>
      <c r="G101" s="19">
        <f>(F101-F89)/F89</f>
        <v>2.3043478260869565</v>
      </c>
      <c r="H101" s="413"/>
      <c r="I101" s="19"/>
      <c r="J101" s="5">
        <v>63</v>
      </c>
      <c r="K101" s="19">
        <f t="shared" si="14"/>
        <v>-0.27586206896551724</v>
      </c>
      <c r="L101" s="5">
        <v>1658</v>
      </c>
      <c r="M101" s="19">
        <f>(L101-L89)/L89</f>
        <v>0.32852564102564102</v>
      </c>
      <c r="N101" s="5"/>
      <c r="O101" s="19"/>
      <c r="P101" s="413"/>
      <c r="Q101" s="19"/>
      <c r="R101" s="46"/>
      <c r="S101" s="19"/>
    </row>
    <row r="102" spans="1:19" s="157" customFormat="1" ht="16.5" customHeight="1">
      <c r="A102" s="457" t="s">
        <v>188</v>
      </c>
      <c r="B102" s="2" t="s">
        <v>170</v>
      </c>
      <c r="C102" s="25">
        <v>1200782</v>
      </c>
      <c r="D102" s="9">
        <f t="shared" si="12"/>
        <v>-5.3016268837632601E-2</v>
      </c>
      <c r="E102" s="178"/>
      <c r="F102" s="25">
        <v>50</v>
      </c>
      <c r="G102" s="9">
        <f t="shared" ref="G102:G118" si="16">(F102-F90)/F90</f>
        <v>0.66666666666666663</v>
      </c>
      <c r="H102" s="25">
        <v>153</v>
      </c>
      <c r="I102" s="9"/>
      <c r="J102" s="25">
        <v>3</v>
      </c>
      <c r="K102" s="9">
        <f t="shared" si="14"/>
        <v>-0.97744360902255634</v>
      </c>
      <c r="L102" s="25">
        <v>2312</v>
      </c>
      <c r="M102" s="9">
        <f t="shared" si="15"/>
        <v>0.18868894601542416</v>
      </c>
      <c r="N102" s="411">
        <v>1689</v>
      </c>
      <c r="O102" s="421"/>
      <c r="P102" s="25"/>
      <c r="Q102" s="9"/>
      <c r="R102" s="103">
        <v>26</v>
      </c>
      <c r="S102" s="9"/>
    </row>
    <row r="103" spans="1:19" s="157" customFormat="1" ht="16.5" customHeight="1">
      <c r="A103" s="461"/>
      <c r="B103" s="15" t="s">
        <v>171</v>
      </c>
      <c r="C103" s="5">
        <v>1150334</v>
      </c>
      <c r="D103" s="9">
        <f t="shared" si="12"/>
        <v>5.3778393372101121E-2</v>
      </c>
      <c r="E103" s="178"/>
      <c r="F103" s="5">
        <v>78</v>
      </c>
      <c r="G103" s="9">
        <f t="shared" si="16"/>
        <v>1.1081081081081081</v>
      </c>
      <c r="H103" s="5">
        <v>222</v>
      </c>
      <c r="I103" s="9"/>
      <c r="J103" s="5">
        <v>15</v>
      </c>
      <c r="K103" s="9">
        <f t="shared" si="14"/>
        <v>-0.8</v>
      </c>
      <c r="L103" s="5">
        <v>1858</v>
      </c>
      <c r="M103" s="9">
        <f t="shared" si="15"/>
        <v>0.50323624595469252</v>
      </c>
      <c r="N103" s="412"/>
      <c r="O103" s="422"/>
      <c r="P103" s="5"/>
      <c r="Q103" s="9"/>
      <c r="R103" s="103">
        <v>33</v>
      </c>
      <c r="S103" s="9"/>
    </row>
    <row r="104" spans="1:19" s="157" customFormat="1" ht="16.5" customHeight="1">
      <c r="A104" s="461"/>
      <c r="B104" s="15" t="s">
        <v>21</v>
      </c>
      <c r="C104" s="5">
        <v>1018952</v>
      </c>
      <c r="D104" s="9">
        <f t="shared" si="12"/>
        <v>0.17296999864163906</v>
      </c>
      <c r="E104" s="178"/>
      <c r="F104" s="5">
        <v>57</v>
      </c>
      <c r="G104" s="9">
        <f t="shared" si="16"/>
        <v>1.1923076923076923</v>
      </c>
      <c r="H104" s="5">
        <v>165</v>
      </c>
      <c r="I104" s="9"/>
      <c r="J104" s="5">
        <v>67</v>
      </c>
      <c r="K104" s="9">
        <f t="shared" si="14"/>
        <v>0.11666666666666667</v>
      </c>
      <c r="L104" s="61">
        <v>1441</v>
      </c>
      <c r="M104" s="9">
        <f t="shared" si="15"/>
        <v>0.2707231040564374</v>
      </c>
      <c r="N104" s="412"/>
      <c r="O104" s="422"/>
      <c r="P104" s="5"/>
      <c r="Q104" s="9"/>
      <c r="R104" s="103">
        <v>20</v>
      </c>
      <c r="S104" s="9"/>
    </row>
    <row r="105" spans="1:19" s="157" customFormat="1" ht="16.5" customHeight="1">
      <c r="A105" s="461"/>
      <c r="B105" s="73" t="s">
        <v>22</v>
      </c>
      <c r="C105" s="68">
        <v>1018645</v>
      </c>
      <c r="D105" s="74">
        <f t="shared" si="12"/>
        <v>0.17424814435259547</v>
      </c>
      <c r="E105" s="178"/>
      <c r="F105" s="68">
        <v>45</v>
      </c>
      <c r="G105" s="74">
        <f t="shared" si="16"/>
        <v>0.8</v>
      </c>
      <c r="H105" s="68">
        <v>234</v>
      </c>
      <c r="I105" s="74"/>
      <c r="J105" s="68">
        <v>96</v>
      </c>
      <c r="K105" s="74">
        <f t="shared" si="14"/>
        <v>0</v>
      </c>
      <c r="L105" s="68">
        <v>1522</v>
      </c>
      <c r="M105" s="74">
        <f t="shared" si="15"/>
        <v>0.43992431409649951</v>
      </c>
      <c r="N105" s="68"/>
      <c r="O105" s="74"/>
      <c r="P105" s="68"/>
      <c r="Q105" s="74"/>
      <c r="R105" s="103">
        <v>15</v>
      </c>
      <c r="S105" s="74"/>
    </row>
    <row r="106" spans="1:19" s="157" customFormat="1" ht="16.5" customHeight="1">
      <c r="A106" s="461"/>
      <c r="B106" s="15" t="s">
        <v>23</v>
      </c>
      <c r="C106" s="5">
        <v>1096950</v>
      </c>
      <c r="D106" s="9">
        <f t="shared" si="12"/>
        <v>8.1368560413008953E-2</v>
      </c>
      <c r="E106" s="178"/>
      <c r="F106" s="5">
        <v>81</v>
      </c>
      <c r="G106" s="9">
        <f t="shared" si="16"/>
        <v>0.47272727272727272</v>
      </c>
      <c r="H106" s="5">
        <v>136</v>
      </c>
      <c r="I106" s="9"/>
      <c r="J106" s="5">
        <v>2</v>
      </c>
      <c r="K106" s="9">
        <f t="shared" si="14"/>
        <v>-0.98550724637681164</v>
      </c>
      <c r="L106" s="5">
        <v>1151</v>
      </c>
      <c r="M106" s="9">
        <f t="shared" si="15"/>
        <v>-2.9510961214165261E-2</v>
      </c>
      <c r="N106" s="5"/>
      <c r="O106" s="9"/>
      <c r="P106" s="5"/>
      <c r="Q106" s="9"/>
      <c r="R106" s="103">
        <v>13</v>
      </c>
      <c r="S106" s="9"/>
    </row>
    <row r="107" spans="1:19" s="157" customFormat="1" ht="16.5" customHeight="1">
      <c r="A107" s="461"/>
      <c r="B107" s="73" t="s">
        <v>24</v>
      </c>
      <c r="C107" s="68">
        <v>1109273</v>
      </c>
      <c r="D107" s="74">
        <f t="shared" si="12"/>
        <v>5.278278150974984E-2</v>
      </c>
      <c r="E107" s="178"/>
      <c r="F107" s="68">
        <v>60</v>
      </c>
      <c r="G107" s="74">
        <f t="shared" si="16"/>
        <v>0.7142857142857143</v>
      </c>
      <c r="H107" s="68">
        <v>233</v>
      </c>
      <c r="I107" s="74"/>
      <c r="J107" s="77">
        <v>112</v>
      </c>
      <c r="K107" s="74">
        <f t="shared" si="14"/>
        <v>2.7522935779816515E-2</v>
      </c>
      <c r="L107" s="68">
        <v>1275</v>
      </c>
      <c r="M107" s="74">
        <f t="shared" si="15"/>
        <v>-0.12310866574965612</v>
      </c>
      <c r="N107" s="68"/>
      <c r="O107" s="74"/>
      <c r="P107" s="68"/>
      <c r="Q107" s="74"/>
      <c r="R107" s="103">
        <v>10</v>
      </c>
      <c r="S107" s="74"/>
    </row>
    <row r="108" spans="1:19" s="157" customFormat="1" ht="16.5" customHeight="1">
      <c r="A108" s="461"/>
      <c r="B108" s="15" t="s">
        <v>25</v>
      </c>
      <c r="C108" s="5">
        <v>1305418</v>
      </c>
      <c r="D108" s="74">
        <f t="shared" si="12"/>
        <v>5.137524977267767E-2</v>
      </c>
      <c r="E108" s="178"/>
      <c r="F108" s="5">
        <v>25</v>
      </c>
      <c r="G108" s="9">
        <f t="shared" si="16"/>
        <v>-0.3902439024390244</v>
      </c>
      <c r="H108" s="5">
        <v>221</v>
      </c>
      <c r="I108" s="9"/>
      <c r="J108" s="5">
        <v>131</v>
      </c>
      <c r="K108" s="9">
        <f t="shared" si="14"/>
        <v>-7.746478873239436E-2</v>
      </c>
      <c r="L108" s="5">
        <v>2151</v>
      </c>
      <c r="M108" s="9">
        <f t="shared" si="15"/>
        <v>-0.29033322335862749</v>
      </c>
      <c r="N108" s="5"/>
      <c r="O108" s="9"/>
      <c r="P108" s="5"/>
      <c r="Q108" s="9"/>
      <c r="R108" s="103">
        <v>15</v>
      </c>
      <c r="S108" s="9"/>
    </row>
    <row r="109" spans="1:19" s="157" customFormat="1" ht="16.5" customHeight="1">
      <c r="A109" s="461"/>
      <c r="B109" s="73" t="s">
        <v>26</v>
      </c>
      <c r="C109" s="68">
        <v>1334651</v>
      </c>
      <c r="D109" s="74">
        <f t="shared" si="12"/>
        <v>7.0098987990911008E-2</v>
      </c>
      <c r="E109" s="178"/>
      <c r="F109" s="68">
        <v>28</v>
      </c>
      <c r="G109" s="74">
        <f t="shared" si="16"/>
        <v>0.6470588235294118</v>
      </c>
      <c r="H109" s="68">
        <v>130</v>
      </c>
      <c r="I109" s="74"/>
      <c r="J109" s="68">
        <v>110</v>
      </c>
      <c r="K109" s="74">
        <f t="shared" si="14"/>
        <v>-0.19708029197080293</v>
      </c>
      <c r="L109" s="68">
        <v>1992</v>
      </c>
      <c r="M109" s="74">
        <f t="shared" si="15"/>
        <v>0.16695957820738136</v>
      </c>
      <c r="N109" s="68"/>
      <c r="O109" s="74"/>
      <c r="P109" s="68"/>
      <c r="Q109" s="74"/>
      <c r="R109" s="103">
        <v>8</v>
      </c>
      <c r="S109" s="74"/>
    </row>
    <row r="110" spans="1:19" s="157" customFormat="1" ht="16.5" customHeight="1">
      <c r="A110" s="461"/>
      <c r="B110" s="73" t="s">
        <v>27</v>
      </c>
      <c r="C110" s="68">
        <v>1059709</v>
      </c>
      <c r="D110" s="74">
        <f t="shared" si="12"/>
        <v>4.5586266301071425E-2</v>
      </c>
      <c r="E110" s="178"/>
      <c r="F110" s="68">
        <v>40</v>
      </c>
      <c r="G110" s="74">
        <f t="shared" si="16"/>
        <v>8.1081081081081086E-2</v>
      </c>
      <c r="H110" s="68">
        <v>249</v>
      </c>
      <c r="I110" s="74"/>
      <c r="J110" s="68">
        <v>139</v>
      </c>
      <c r="K110" s="74">
        <f t="shared" si="14"/>
        <v>-3.4722222222222224E-2</v>
      </c>
      <c r="L110" s="68">
        <v>1429</v>
      </c>
      <c r="M110" s="74">
        <f t="shared" si="15"/>
        <v>0.1968174204355109</v>
      </c>
      <c r="N110" s="68"/>
      <c r="O110" s="74"/>
      <c r="P110" s="68"/>
      <c r="Q110" s="74"/>
      <c r="R110" s="103">
        <v>38</v>
      </c>
      <c r="S110" s="74"/>
    </row>
    <row r="111" spans="1:19" s="157" customFormat="1" ht="16.5" customHeight="1">
      <c r="A111" s="461"/>
      <c r="B111" s="15" t="s">
        <v>28</v>
      </c>
      <c r="C111" s="5">
        <v>1154742</v>
      </c>
      <c r="D111" s="74">
        <f t="shared" si="12"/>
        <v>0.11829779321685588</v>
      </c>
      <c r="E111" s="178"/>
      <c r="F111" s="5">
        <v>100</v>
      </c>
      <c r="G111" s="9">
        <f t="shared" si="16"/>
        <v>2.125</v>
      </c>
      <c r="H111" s="5">
        <v>324</v>
      </c>
      <c r="I111" s="9"/>
      <c r="J111" s="5">
        <v>118</v>
      </c>
      <c r="K111" s="9">
        <f t="shared" si="14"/>
        <v>0.35632183908045978</v>
      </c>
      <c r="L111" s="5">
        <v>1434</v>
      </c>
      <c r="M111" s="9">
        <f t="shared" si="15"/>
        <v>0.20201173512154233</v>
      </c>
      <c r="N111" s="5"/>
      <c r="O111" s="9"/>
      <c r="P111" s="5"/>
      <c r="Q111" s="9"/>
      <c r="R111" s="103">
        <v>35</v>
      </c>
      <c r="S111" s="9"/>
    </row>
    <row r="112" spans="1:19" s="157" customFormat="1" ht="16.5" customHeight="1">
      <c r="A112" s="461"/>
      <c r="B112" s="15" t="s">
        <v>29</v>
      </c>
      <c r="C112" s="5">
        <v>1117550</v>
      </c>
      <c r="D112" s="74">
        <f t="shared" si="12"/>
        <v>0.14708161620930865</v>
      </c>
      <c r="E112" s="178"/>
      <c r="F112" s="5">
        <v>102</v>
      </c>
      <c r="G112" s="9">
        <f t="shared" si="16"/>
        <v>0.67213114754098358</v>
      </c>
      <c r="H112" s="5">
        <v>345</v>
      </c>
      <c r="I112" s="9"/>
      <c r="J112" s="5">
        <v>124</v>
      </c>
      <c r="K112" s="9">
        <f t="shared" si="14"/>
        <v>0.77142857142857146</v>
      </c>
      <c r="L112" s="5">
        <v>1597</v>
      </c>
      <c r="M112" s="9">
        <f t="shared" si="15"/>
        <v>6.8227424749163879E-2</v>
      </c>
      <c r="N112" s="5"/>
      <c r="O112" s="9"/>
      <c r="P112" s="5"/>
      <c r="Q112" s="9"/>
      <c r="R112" s="103">
        <v>33</v>
      </c>
      <c r="S112" s="9"/>
    </row>
    <row r="113" spans="1:20" s="157" customFormat="1" ht="16.5" customHeight="1">
      <c r="A113" s="462"/>
      <c r="B113" s="41" t="s">
        <v>30</v>
      </c>
      <c r="C113" s="5">
        <v>1169970</v>
      </c>
      <c r="D113" s="74">
        <f t="shared" si="12"/>
        <v>0.1463011733722106</v>
      </c>
      <c r="E113" s="178"/>
      <c r="F113" s="5">
        <v>82</v>
      </c>
      <c r="G113" s="9">
        <f t="shared" si="16"/>
        <v>7.8947368421052627E-2</v>
      </c>
      <c r="H113" s="5">
        <v>239</v>
      </c>
      <c r="I113" s="9"/>
      <c r="J113" s="5">
        <v>69</v>
      </c>
      <c r="K113" s="19">
        <f t="shared" si="14"/>
        <v>9.5238095238095233E-2</v>
      </c>
      <c r="L113" s="5">
        <v>1655</v>
      </c>
      <c r="M113" s="9">
        <f t="shared" si="15"/>
        <v>-1.8094089264173703E-3</v>
      </c>
      <c r="N113" s="5"/>
      <c r="O113" s="9"/>
      <c r="P113" s="5"/>
      <c r="Q113" s="9"/>
      <c r="R113" s="103">
        <v>56</v>
      </c>
      <c r="S113" s="9"/>
    </row>
    <row r="114" spans="1:20" s="157" customFormat="1">
      <c r="A114" s="457" t="s">
        <v>189</v>
      </c>
      <c r="B114" s="2" t="s">
        <v>170</v>
      </c>
      <c r="C114" s="25">
        <v>1425900</v>
      </c>
      <c r="D114" s="24">
        <f t="shared" si="12"/>
        <v>0.18747616136817508</v>
      </c>
      <c r="E114" s="178"/>
      <c r="F114" s="25">
        <v>44</v>
      </c>
      <c r="G114" s="24">
        <f t="shared" si="16"/>
        <v>-0.12</v>
      </c>
      <c r="H114" s="25">
        <v>171</v>
      </c>
      <c r="I114" s="24">
        <f t="shared" ref="I114:I125" si="17">(H114-H102)/H102</f>
        <v>0.11764705882352941</v>
      </c>
      <c r="J114" s="25">
        <v>172</v>
      </c>
      <c r="K114" s="9">
        <f t="shared" ref="K114:K125" si="18">(J114-J102)/J102</f>
        <v>56.333333333333336</v>
      </c>
      <c r="L114" s="25">
        <v>2581</v>
      </c>
      <c r="M114" s="24">
        <f t="shared" si="15"/>
        <v>0.11634948096885814</v>
      </c>
      <c r="N114" s="411">
        <v>8463</v>
      </c>
      <c r="O114" s="421"/>
      <c r="P114" s="25"/>
      <c r="Q114" s="24"/>
      <c r="R114" s="25">
        <v>6</v>
      </c>
      <c r="S114" s="24">
        <f>(R114-R102)/R102</f>
        <v>-0.76923076923076927</v>
      </c>
    </row>
    <row r="115" spans="1:20" s="157" customFormat="1">
      <c r="A115" s="461"/>
      <c r="B115" s="15" t="s">
        <v>171</v>
      </c>
      <c r="C115" s="5">
        <v>1184807</v>
      </c>
      <c r="D115" s="9">
        <f t="shared" si="12"/>
        <v>2.9967818042412029E-2</v>
      </c>
      <c r="E115" s="178"/>
      <c r="F115" s="5">
        <v>72</v>
      </c>
      <c r="G115" s="9">
        <f t="shared" si="16"/>
        <v>-7.6923076923076927E-2</v>
      </c>
      <c r="H115" s="5">
        <v>157</v>
      </c>
      <c r="I115" s="9">
        <f t="shared" si="17"/>
        <v>-0.2927927927927928</v>
      </c>
      <c r="J115" s="5">
        <v>87</v>
      </c>
      <c r="K115" s="9">
        <f t="shared" si="18"/>
        <v>4.8</v>
      </c>
      <c r="L115" s="5">
        <v>1346</v>
      </c>
      <c r="M115" s="9">
        <f t="shared" si="15"/>
        <v>-0.27556512378902043</v>
      </c>
      <c r="N115" s="412"/>
      <c r="O115" s="422"/>
      <c r="P115" s="5"/>
      <c r="Q115" s="9"/>
      <c r="R115" s="3">
        <v>9</v>
      </c>
      <c r="S115" s="9">
        <f t="shared" ref="S115:S125" si="19">(R115-R103)/R103</f>
        <v>-0.72727272727272729</v>
      </c>
    </row>
    <row r="116" spans="1:20" s="157" customFormat="1">
      <c r="A116" s="461"/>
      <c r="B116" s="15" t="s">
        <v>21</v>
      </c>
      <c r="C116" s="5">
        <v>1113946</v>
      </c>
      <c r="D116" s="9">
        <f t="shared" si="12"/>
        <v>9.322715888481499E-2</v>
      </c>
      <c r="E116" s="178"/>
      <c r="F116" s="5">
        <v>74</v>
      </c>
      <c r="G116" s="9">
        <f t="shared" si="16"/>
        <v>0.2982456140350877</v>
      </c>
      <c r="H116" s="5">
        <v>230</v>
      </c>
      <c r="I116" s="9">
        <f t="shared" si="17"/>
        <v>0.39393939393939392</v>
      </c>
      <c r="J116" s="5">
        <v>136</v>
      </c>
      <c r="K116" s="9">
        <f t="shared" si="18"/>
        <v>1.0298507462686568</v>
      </c>
      <c r="L116" s="61">
        <v>1328</v>
      </c>
      <c r="M116" s="9">
        <f t="shared" si="15"/>
        <v>-7.8417765440666198E-2</v>
      </c>
      <c r="N116" s="412"/>
      <c r="O116" s="422"/>
      <c r="P116" s="5"/>
      <c r="Q116" s="9"/>
      <c r="R116" s="3">
        <v>19</v>
      </c>
      <c r="S116" s="9">
        <f t="shared" si="19"/>
        <v>-0.05</v>
      </c>
    </row>
    <row r="117" spans="1:20" s="157" customFormat="1">
      <c r="A117" s="461"/>
      <c r="B117" s="73" t="s">
        <v>22</v>
      </c>
      <c r="C117" s="5">
        <v>1097420</v>
      </c>
      <c r="D117" s="9">
        <f t="shared" si="12"/>
        <v>7.733312390479509E-2</v>
      </c>
      <c r="E117" s="178"/>
      <c r="F117" s="68">
        <v>47</v>
      </c>
      <c r="G117" s="9">
        <f t="shared" si="16"/>
        <v>4.4444444444444446E-2</v>
      </c>
      <c r="H117" s="68">
        <v>212</v>
      </c>
      <c r="I117" s="9">
        <f t="shared" si="17"/>
        <v>-9.4017094017094016E-2</v>
      </c>
      <c r="J117" s="68">
        <v>84</v>
      </c>
      <c r="K117" s="9">
        <f t="shared" si="18"/>
        <v>-0.125</v>
      </c>
      <c r="L117" s="68">
        <v>1063</v>
      </c>
      <c r="M117" s="9">
        <f t="shared" ref="M117:M145" si="20">(L117-L105)/L105</f>
        <v>-0.30157687253613669</v>
      </c>
      <c r="N117" s="412"/>
      <c r="O117" s="422"/>
      <c r="P117" s="68"/>
      <c r="Q117" s="74"/>
      <c r="R117" s="3">
        <v>1</v>
      </c>
      <c r="S117" s="9">
        <f t="shared" si="19"/>
        <v>-0.93333333333333335</v>
      </c>
    </row>
    <row r="118" spans="1:20" s="157" customFormat="1">
      <c r="A118" s="461"/>
      <c r="B118" s="15" t="s">
        <v>23</v>
      </c>
      <c r="C118" s="5">
        <v>1185405</v>
      </c>
      <c r="D118" s="9">
        <f t="shared" si="12"/>
        <v>8.0637221386571853E-2</v>
      </c>
      <c r="E118" s="178"/>
      <c r="F118" s="5">
        <v>70</v>
      </c>
      <c r="G118" s="9">
        <f t="shared" si="16"/>
        <v>-0.13580246913580246</v>
      </c>
      <c r="H118" s="5">
        <v>211</v>
      </c>
      <c r="I118" s="9">
        <f t="shared" si="17"/>
        <v>0.55147058823529416</v>
      </c>
      <c r="J118" s="5">
        <v>97</v>
      </c>
      <c r="K118" s="9">
        <f t="shared" si="18"/>
        <v>47.5</v>
      </c>
      <c r="L118" s="5">
        <v>1010</v>
      </c>
      <c r="M118" s="9">
        <f t="shared" si="20"/>
        <v>-0.12250217202432667</v>
      </c>
      <c r="N118" s="412"/>
      <c r="O118" s="422"/>
      <c r="P118" s="5"/>
      <c r="Q118" s="9"/>
      <c r="R118" s="3">
        <v>10</v>
      </c>
      <c r="S118" s="9">
        <f t="shared" si="19"/>
        <v>-0.23076923076923078</v>
      </c>
    </row>
    <row r="119" spans="1:20" s="157" customFormat="1">
      <c r="A119" s="461"/>
      <c r="B119" s="73" t="s">
        <v>24</v>
      </c>
      <c r="C119" s="68">
        <v>1221491</v>
      </c>
      <c r="D119" s="9">
        <f t="shared" si="12"/>
        <v>0.10116355486881949</v>
      </c>
      <c r="E119" s="178"/>
      <c r="F119" s="68">
        <v>120</v>
      </c>
      <c r="G119" s="9">
        <f t="shared" ref="G119:G126" si="21">(F119-F107)/F107</f>
        <v>1</v>
      </c>
      <c r="H119" s="68">
        <v>223</v>
      </c>
      <c r="I119" s="9">
        <f t="shared" si="17"/>
        <v>-4.2918454935622317E-2</v>
      </c>
      <c r="J119" s="77">
        <v>132</v>
      </c>
      <c r="K119" s="9">
        <f t="shared" si="18"/>
        <v>0.17857142857142858</v>
      </c>
      <c r="L119" s="68">
        <v>1187</v>
      </c>
      <c r="M119" s="9">
        <f t="shared" si="20"/>
        <v>-6.9019607843137251E-2</v>
      </c>
      <c r="N119" s="412"/>
      <c r="O119" s="422"/>
      <c r="P119" s="68"/>
      <c r="Q119" s="74"/>
      <c r="R119" s="3">
        <v>6</v>
      </c>
      <c r="S119" s="9">
        <f t="shared" si="19"/>
        <v>-0.4</v>
      </c>
    </row>
    <row r="120" spans="1:20" s="157" customFormat="1">
      <c r="A120" s="461"/>
      <c r="B120" s="15" t="s">
        <v>25</v>
      </c>
      <c r="C120" s="5">
        <v>1417422</v>
      </c>
      <c r="D120" s="9">
        <f t="shared" si="12"/>
        <v>8.5799337836616321E-2</v>
      </c>
      <c r="E120" s="178"/>
      <c r="F120" s="5">
        <v>49</v>
      </c>
      <c r="G120" s="9">
        <f t="shared" si="21"/>
        <v>0.96</v>
      </c>
      <c r="H120" s="5">
        <v>154</v>
      </c>
      <c r="I120" s="9">
        <f t="shared" si="17"/>
        <v>-0.30316742081447962</v>
      </c>
      <c r="J120" s="5">
        <v>126</v>
      </c>
      <c r="K120" s="9">
        <f t="shared" si="18"/>
        <v>-3.8167938931297711E-2</v>
      </c>
      <c r="L120" s="5">
        <v>1568</v>
      </c>
      <c r="M120" s="9">
        <f t="shared" si="20"/>
        <v>-0.27103672710367271</v>
      </c>
      <c r="N120" s="412"/>
      <c r="O120" s="422"/>
      <c r="P120" s="5"/>
      <c r="Q120" s="9"/>
      <c r="R120" s="3">
        <v>10</v>
      </c>
      <c r="S120" s="9">
        <f t="shared" si="19"/>
        <v>-0.33333333333333331</v>
      </c>
    </row>
    <row r="121" spans="1:20" s="157" customFormat="1">
      <c r="A121" s="461"/>
      <c r="B121" s="73" t="s">
        <v>26</v>
      </c>
      <c r="C121" s="68">
        <v>1407186</v>
      </c>
      <c r="D121" s="9">
        <f t="shared" si="12"/>
        <v>5.4347541042564687E-2</v>
      </c>
      <c r="E121" s="178"/>
      <c r="F121" s="68">
        <v>44</v>
      </c>
      <c r="G121" s="9">
        <f t="shared" si="21"/>
        <v>0.5714285714285714</v>
      </c>
      <c r="H121" s="68">
        <v>119</v>
      </c>
      <c r="I121" s="9">
        <f t="shared" si="17"/>
        <v>-8.461538461538462E-2</v>
      </c>
      <c r="J121" s="68">
        <v>177</v>
      </c>
      <c r="K121" s="9">
        <f t="shared" si="18"/>
        <v>0.60909090909090913</v>
      </c>
      <c r="L121" s="68">
        <v>1605</v>
      </c>
      <c r="M121" s="9">
        <f t="shared" si="20"/>
        <v>-0.19427710843373494</v>
      </c>
      <c r="N121" s="412"/>
      <c r="O121" s="422"/>
      <c r="P121" s="68"/>
      <c r="Q121" s="74"/>
      <c r="R121" s="3">
        <v>3</v>
      </c>
      <c r="S121" s="9">
        <f t="shared" si="19"/>
        <v>-0.625</v>
      </c>
    </row>
    <row r="122" spans="1:20" s="157" customFormat="1">
      <c r="A122" s="461"/>
      <c r="B122" s="73" t="s">
        <v>27</v>
      </c>
      <c r="C122" s="68">
        <v>1195238</v>
      </c>
      <c r="D122" s="9">
        <f t="shared" si="12"/>
        <v>0.12789265732385022</v>
      </c>
      <c r="E122" s="178"/>
      <c r="F122" s="68">
        <v>103</v>
      </c>
      <c r="G122" s="9">
        <f t="shared" si="21"/>
        <v>1.575</v>
      </c>
      <c r="H122" s="68">
        <v>213</v>
      </c>
      <c r="I122" s="9">
        <f t="shared" si="17"/>
        <v>-0.14457831325301204</v>
      </c>
      <c r="J122" s="68">
        <v>165</v>
      </c>
      <c r="K122" s="9">
        <f t="shared" si="18"/>
        <v>0.18705035971223022</v>
      </c>
      <c r="L122" s="68">
        <v>1175</v>
      </c>
      <c r="M122" s="9">
        <f t="shared" si="20"/>
        <v>-0.17774667599720084</v>
      </c>
      <c r="N122" s="412"/>
      <c r="O122" s="422"/>
      <c r="P122" s="68"/>
      <c r="Q122" s="74"/>
      <c r="R122" s="3">
        <v>25</v>
      </c>
      <c r="S122" s="9">
        <f t="shared" si="19"/>
        <v>-0.34210526315789475</v>
      </c>
    </row>
    <row r="123" spans="1:20" s="157" customFormat="1">
      <c r="A123" s="461"/>
      <c r="B123" s="15" t="s">
        <v>28</v>
      </c>
      <c r="C123" s="5">
        <v>1239143</v>
      </c>
      <c r="D123" s="9">
        <f t="shared" si="12"/>
        <v>7.3090785647356729E-2</v>
      </c>
      <c r="E123" s="178"/>
      <c r="F123" s="5">
        <v>108</v>
      </c>
      <c r="G123" s="9">
        <f t="shared" si="21"/>
        <v>0.08</v>
      </c>
      <c r="H123" s="5">
        <v>375</v>
      </c>
      <c r="I123" s="9">
        <f t="shared" si="17"/>
        <v>0.15740740740740741</v>
      </c>
      <c r="J123" s="5">
        <v>129</v>
      </c>
      <c r="K123" s="9">
        <f t="shared" si="18"/>
        <v>9.3220338983050849E-2</v>
      </c>
      <c r="L123" s="5">
        <v>1366</v>
      </c>
      <c r="M123" s="9">
        <f t="shared" si="20"/>
        <v>-4.7419804741980473E-2</v>
      </c>
      <c r="N123" s="412"/>
      <c r="O123" s="422"/>
      <c r="P123" s="5"/>
      <c r="Q123" s="9"/>
      <c r="R123" s="3">
        <v>13</v>
      </c>
      <c r="S123" s="9">
        <f t="shared" si="19"/>
        <v>-0.62857142857142856</v>
      </c>
    </row>
    <row r="124" spans="1:20" s="157" customFormat="1">
      <c r="A124" s="461"/>
      <c r="B124" s="15" t="s">
        <v>29</v>
      </c>
      <c r="C124" s="5">
        <v>1154064</v>
      </c>
      <c r="D124" s="9">
        <f t="shared" si="12"/>
        <v>3.2673258467182678E-2</v>
      </c>
      <c r="E124" s="178"/>
      <c r="F124" s="5">
        <v>83</v>
      </c>
      <c r="G124" s="9">
        <f t="shared" si="21"/>
        <v>-0.18627450980392157</v>
      </c>
      <c r="H124" s="5">
        <v>392</v>
      </c>
      <c r="I124" s="9">
        <f t="shared" si="17"/>
        <v>0.13623188405797101</v>
      </c>
      <c r="J124" s="5">
        <v>153</v>
      </c>
      <c r="K124" s="9">
        <f t="shared" si="18"/>
        <v>0.23387096774193547</v>
      </c>
      <c r="L124" s="5">
        <v>1171</v>
      </c>
      <c r="M124" s="9">
        <f t="shared" si="20"/>
        <v>-0.26675015654351908</v>
      </c>
      <c r="N124" s="412"/>
      <c r="O124" s="422"/>
      <c r="P124" s="5"/>
      <c r="Q124" s="9"/>
      <c r="R124" s="3">
        <v>10</v>
      </c>
      <c r="S124" s="9">
        <f t="shared" si="19"/>
        <v>-0.69696969696969702</v>
      </c>
    </row>
    <row r="125" spans="1:20" s="157" customFormat="1">
      <c r="A125" s="462"/>
      <c r="B125" s="41" t="s">
        <v>30</v>
      </c>
      <c r="C125" s="5">
        <v>1204463</v>
      </c>
      <c r="D125" s="9">
        <f t="shared" si="12"/>
        <v>2.9481952528697317E-2</v>
      </c>
      <c r="E125" s="178"/>
      <c r="F125" s="5">
        <v>102</v>
      </c>
      <c r="G125" s="9">
        <f t="shared" si="21"/>
        <v>0.24390243902439024</v>
      </c>
      <c r="H125" s="5">
        <v>321</v>
      </c>
      <c r="I125" s="9">
        <f t="shared" si="17"/>
        <v>0.34309623430962344</v>
      </c>
      <c r="J125" s="5">
        <v>156</v>
      </c>
      <c r="K125" s="9">
        <f t="shared" si="18"/>
        <v>1.2608695652173914</v>
      </c>
      <c r="L125" s="5">
        <v>1479</v>
      </c>
      <c r="M125" s="9">
        <f t="shared" si="20"/>
        <v>-0.10634441087613293</v>
      </c>
      <c r="N125" s="413"/>
      <c r="O125" s="423"/>
      <c r="P125" s="5"/>
      <c r="Q125" s="9"/>
      <c r="R125" s="3">
        <v>3</v>
      </c>
      <c r="S125" s="9">
        <f t="shared" si="19"/>
        <v>-0.9464285714285714</v>
      </c>
    </row>
    <row r="126" spans="1:20" s="157" customFormat="1">
      <c r="A126" s="457" t="s">
        <v>190</v>
      </c>
      <c r="B126" s="2" t="s">
        <v>170</v>
      </c>
      <c r="C126" s="25">
        <v>1468903</v>
      </c>
      <c r="D126" s="24">
        <f>(C126-C114)/C114</f>
        <v>3.0158496388246019E-2</v>
      </c>
      <c r="E126" s="178"/>
      <c r="F126" s="25">
        <v>101</v>
      </c>
      <c r="G126" s="24">
        <f t="shared" si="21"/>
        <v>1.2954545454545454</v>
      </c>
      <c r="H126" s="25">
        <v>236</v>
      </c>
      <c r="I126" s="24">
        <f>(H126-H114)/H114</f>
        <v>0.38011695906432746</v>
      </c>
      <c r="J126" s="25">
        <v>206</v>
      </c>
      <c r="K126" s="24">
        <f t="shared" ref="K126:K146" si="22">(J126-J114)/J114</f>
        <v>0.19767441860465115</v>
      </c>
      <c r="L126" s="25">
        <v>2207</v>
      </c>
      <c r="M126" s="24">
        <f t="shared" si="20"/>
        <v>-0.14490507555211157</v>
      </c>
      <c r="N126" s="411">
        <v>5273</v>
      </c>
      <c r="O126" s="421">
        <f>N126/N114-1</f>
        <v>-0.37693489306392536</v>
      </c>
      <c r="P126" s="25"/>
      <c r="Q126" s="24"/>
      <c r="R126" s="25"/>
      <c r="S126" s="24"/>
      <c r="T126" s="162"/>
    </row>
    <row r="127" spans="1:20" s="157" customFormat="1">
      <c r="A127" s="461"/>
      <c r="B127" s="15" t="s">
        <v>171</v>
      </c>
      <c r="C127" s="3">
        <v>1312683</v>
      </c>
      <c r="D127" s="9">
        <f t="shared" ref="D127:D136" si="23">C127/C115-1</f>
        <v>0.10792981472931884</v>
      </c>
      <c r="E127" s="178"/>
      <c r="F127" s="3">
        <v>96</v>
      </c>
      <c r="G127" s="9">
        <f t="shared" ref="G127:G132" si="24">F127/F115-1</f>
        <v>0.33333333333333326</v>
      </c>
      <c r="H127" s="3">
        <v>251</v>
      </c>
      <c r="I127" s="9">
        <f t="shared" ref="I127:I149" si="25">H127/H115-1</f>
        <v>0.59872611464968162</v>
      </c>
      <c r="J127" s="3">
        <v>135</v>
      </c>
      <c r="K127" s="74">
        <f t="shared" si="22"/>
        <v>0.55172413793103448</v>
      </c>
      <c r="L127" s="3">
        <v>1387</v>
      </c>
      <c r="M127" s="9">
        <f t="shared" si="20"/>
        <v>3.0460624071322436E-2</v>
      </c>
      <c r="N127" s="412"/>
      <c r="O127" s="422"/>
      <c r="P127" s="3"/>
      <c r="Q127" s="9"/>
      <c r="R127" s="3"/>
      <c r="S127" s="9"/>
      <c r="T127" s="162"/>
    </row>
    <row r="128" spans="1:20" s="157" customFormat="1">
      <c r="A128" s="461"/>
      <c r="B128" s="15" t="s">
        <v>21</v>
      </c>
      <c r="C128" s="3">
        <v>1150959</v>
      </c>
      <c r="D128" s="9">
        <f t="shared" si="23"/>
        <v>3.3226924824004023E-2</v>
      </c>
      <c r="E128" s="178"/>
      <c r="F128" s="3">
        <v>92</v>
      </c>
      <c r="G128" s="9">
        <f t="shared" si="24"/>
        <v>0.2432432432432432</v>
      </c>
      <c r="H128" s="3">
        <v>237</v>
      </c>
      <c r="I128" s="9">
        <f t="shared" si="25"/>
        <v>3.0434782608695699E-2</v>
      </c>
      <c r="J128" s="3">
        <v>134</v>
      </c>
      <c r="K128" s="74">
        <f t="shared" si="22"/>
        <v>-1.4705882352941176E-2</v>
      </c>
      <c r="L128" s="3">
        <v>1207</v>
      </c>
      <c r="M128" s="9">
        <f t="shared" si="20"/>
        <v>-9.1114457831325296E-2</v>
      </c>
      <c r="N128" s="412"/>
      <c r="O128" s="422"/>
      <c r="P128" s="3"/>
      <c r="Q128" s="9"/>
      <c r="R128" s="3"/>
      <c r="S128" s="9"/>
    </row>
    <row r="129" spans="1:20" s="157" customFormat="1">
      <c r="A129" s="461"/>
      <c r="B129" s="73" t="s">
        <v>22</v>
      </c>
      <c r="C129" s="3">
        <v>1179885</v>
      </c>
      <c r="D129" s="9">
        <f t="shared" si="23"/>
        <v>7.514442966229895E-2</v>
      </c>
      <c r="E129" s="178"/>
      <c r="F129" s="3">
        <v>114</v>
      </c>
      <c r="G129" s="9">
        <f t="shared" si="24"/>
        <v>1.4255319148936172</v>
      </c>
      <c r="H129" s="3">
        <v>348</v>
      </c>
      <c r="I129" s="9">
        <f t="shared" si="25"/>
        <v>0.64150943396226423</v>
      </c>
      <c r="J129" s="3">
        <v>169</v>
      </c>
      <c r="K129" s="74">
        <f t="shared" si="22"/>
        <v>1.0119047619047619</v>
      </c>
      <c r="L129" s="3">
        <v>1102</v>
      </c>
      <c r="M129" s="225">
        <f t="shared" si="20"/>
        <v>3.6688617121354655E-2</v>
      </c>
      <c r="N129" s="412"/>
      <c r="O129" s="422"/>
      <c r="P129" s="3"/>
      <c r="Q129" s="9"/>
      <c r="R129" s="3"/>
      <c r="S129" s="9"/>
    </row>
    <row r="130" spans="1:20" s="157" customFormat="1">
      <c r="A130" s="461"/>
      <c r="B130" s="15" t="s">
        <v>23</v>
      </c>
      <c r="C130" s="3">
        <v>1223003</v>
      </c>
      <c r="D130" s="9">
        <f t="shared" si="23"/>
        <v>3.1717429907921701E-2</v>
      </c>
      <c r="E130" s="178"/>
      <c r="F130" s="3">
        <v>112</v>
      </c>
      <c r="G130" s="9">
        <f t="shared" si="24"/>
        <v>0.60000000000000009</v>
      </c>
      <c r="H130" s="3">
        <v>380</v>
      </c>
      <c r="I130" s="9">
        <f t="shared" si="25"/>
        <v>0.80094786729857814</v>
      </c>
      <c r="J130" s="3">
        <v>171</v>
      </c>
      <c r="K130" s="74">
        <f t="shared" si="22"/>
        <v>0.76288659793814428</v>
      </c>
      <c r="L130" s="3">
        <v>1094</v>
      </c>
      <c r="M130" s="225">
        <f t="shared" si="20"/>
        <v>8.3168316831683173E-2</v>
      </c>
      <c r="N130" s="412"/>
      <c r="O130" s="422"/>
      <c r="P130" s="3"/>
      <c r="Q130" s="9"/>
      <c r="R130" s="3"/>
      <c r="S130" s="9"/>
    </row>
    <row r="131" spans="1:20" s="157" customFormat="1">
      <c r="A131" s="461"/>
      <c r="B131" s="73" t="s">
        <v>24</v>
      </c>
      <c r="C131" s="3">
        <v>1270439</v>
      </c>
      <c r="D131" s="9">
        <f t="shared" si="23"/>
        <v>4.0072337823201298E-2</v>
      </c>
      <c r="E131" s="178"/>
      <c r="F131" s="3">
        <v>88</v>
      </c>
      <c r="G131" s="9">
        <f t="shared" si="24"/>
        <v>-0.26666666666666672</v>
      </c>
      <c r="H131" s="3">
        <v>253</v>
      </c>
      <c r="I131" s="9">
        <f t="shared" si="25"/>
        <v>0.13452914798206272</v>
      </c>
      <c r="J131" s="3">
        <v>201</v>
      </c>
      <c r="K131" s="74">
        <f t="shared" si="22"/>
        <v>0.52272727272727271</v>
      </c>
      <c r="L131" s="3">
        <v>1123</v>
      </c>
      <c r="M131" s="225">
        <f t="shared" si="20"/>
        <v>-5.3917438921651219E-2</v>
      </c>
      <c r="N131" s="412"/>
      <c r="O131" s="422"/>
      <c r="P131" s="3"/>
      <c r="Q131" s="9"/>
      <c r="R131" s="3"/>
      <c r="S131" s="9"/>
    </row>
    <row r="132" spans="1:20" s="157" customFormat="1">
      <c r="A132" s="461"/>
      <c r="B132" s="15" t="s">
        <v>25</v>
      </c>
      <c r="C132" s="3">
        <v>1454795</v>
      </c>
      <c r="D132" s="9">
        <f t="shared" si="23"/>
        <v>2.6366882974865558E-2</v>
      </c>
      <c r="E132" s="178"/>
      <c r="F132" s="3">
        <v>61</v>
      </c>
      <c r="G132" s="9">
        <f t="shared" si="24"/>
        <v>0.24489795918367352</v>
      </c>
      <c r="H132" s="3">
        <v>156</v>
      </c>
      <c r="I132" s="9">
        <f t="shared" si="25"/>
        <v>1.298701298701288E-2</v>
      </c>
      <c r="J132" s="3">
        <v>229</v>
      </c>
      <c r="K132" s="74">
        <f t="shared" si="22"/>
        <v>0.81746031746031744</v>
      </c>
      <c r="L132" s="3">
        <v>1532</v>
      </c>
      <c r="M132" s="225">
        <f t="shared" si="20"/>
        <v>-2.2959183673469389E-2</v>
      </c>
      <c r="N132" s="412"/>
      <c r="O132" s="422"/>
      <c r="P132" s="3"/>
      <c r="Q132" s="9"/>
      <c r="R132" s="3"/>
      <c r="S132" s="9"/>
    </row>
    <row r="133" spans="1:20" s="157" customFormat="1">
      <c r="A133" s="461"/>
      <c r="B133" s="73" t="s">
        <v>26</v>
      </c>
      <c r="C133" s="3">
        <v>1547193</v>
      </c>
      <c r="D133" s="9">
        <f t="shared" si="23"/>
        <v>9.9494309920650226E-2</v>
      </c>
      <c r="E133" s="178"/>
      <c r="F133" s="3">
        <v>62</v>
      </c>
      <c r="G133" s="9">
        <f>F133/F121-1</f>
        <v>0.40909090909090917</v>
      </c>
      <c r="H133" s="3">
        <v>121</v>
      </c>
      <c r="I133" s="9">
        <f t="shared" si="25"/>
        <v>1.6806722689075571E-2</v>
      </c>
      <c r="J133" s="3">
        <v>231</v>
      </c>
      <c r="K133" s="74">
        <f t="shared" si="22"/>
        <v>0.30508474576271188</v>
      </c>
      <c r="L133" s="3">
        <v>1503</v>
      </c>
      <c r="M133" s="225">
        <f t="shared" si="20"/>
        <v>-6.3551401869158877E-2</v>
      </c>
      <c r="N133" s="412"/>
      <c r="O133" s="422"/>
      <c r="P133" s="3"/>
      <c r="Q133" s="9"/>
      <c r="R133" s="3"/>
      <c r="S133" s="9"/>
    </row>
    <row r="134" spans="1:20" s="157" customFormat="1">
      <c r="A134" s="461"/>
      <c r="B134" s="73" t="s">
        <v>27</v>
      </c>
      <c r="C134" s="3">
        <v>1321293</v>
      </c>
      <c r="D134" s="9">
        <f t="shared" si="23"/>
        <v>0.10546435103301599</v>
      </c>
      <c r="E134" s="178"/>
      <c r="F134" s="3">
        <v>85</v>
      </c>
      <c r="G134" s="9">
        <f>F134/F122-1</f>
        <v>-0.17475728155339809</v>
      </c>
      <c r="H134" s="3">
        <v>303</v>
      </c>
      <c r="I134" s="9">
        <f t="shared" si="25"/>
        <v>0.42253521126760574</v>
      </c>
      <c r="J134" s="3">
        <v>130</v>
      </c>
      <c r="K134" s="74">
        <f t="shared" si="22"/>
        <v>-0.21212121212121213</v>
      </c>
      <c r="L134" s="3">
        <v>870</v>
      </c>
      <c r="M134" s="225">
        <f t="shared" si="20"/>
        <v>-0.25957446808510637</v>
      </c>
      <c r="N134" s="412"/>
      <c r="O134" s="422"/>
      <c r="P134" s="3"/>
      <c r="Q134" s="9"/>
      <c r="R134" s="3"/>
      <c r="S134" s="9"/>
      <c r="T134" s="162"/>
    </row>
    <row r="135" spans="1:20" s="157" customFormat="1">
      <c r="A135" s="461"/>
      <c r="B135" s="15" t="s">
        <v>28</v>
      </c>
      <c r="C135" s="3">
        <v>1432100</v>
      </c>
      <c r="D135" s="9">
        <f t="shared" si="23"/>
        <v>0.15571810517430196</v>
      </c>
      <c r="E135" s="178"/>
      <c r="F135" s="3">
        <v>84</v>
      </c>
      <c r="G135" s="9">
        <f>F135/F123-1</f>
        <v>-0.22222222222222221</v>
      </c>
      <c r="H135" s="3">
        <v>325</v>
      </c>
      <c r="I135" s="185">
        <f t="shared" si="25"/>
        <v>-0.1333333333333333</v>
      </c>
      <c r="J135" s="3">
        <v>141</v>
      </c>
      <c r="K135" s="74">
        <f t="shared" si="22"/>
        <v>9.3023255813953487E-2</v>
      </c>
      <c r="L135" s="3">
        <v>807</v>
      </c>
      <c r="M135" s="225">
        <f t="shared" si="20"/>
        <v>-0.40922401171303074</v>
      </c>
      <c r="N135" s="412"/>
      <c r="O135" s="422"/>
      <c r="P135" s="3"/>
      <c r="Q135" s="9"/>
      <c r="R135" s="3"/>
      <c r="S135" s="9"/>
      <c r="T135" s="162"/>
    </row>
    <row r="136" spans="1:20" s="157" customFormat="1">
      <c r="A136" s="461"/>
      <c r="B136" s="15" t="s">
        <v>29</v>
      </c>
      <c r="C136" s="3">
        <v>1288754</v>
      </c>
      <c r="D136" s="9">
        <f t="shared" si="23"/>
        <v>0.11670929861775425</v>
      </c>
      <c r="E136" s="178"/>
      <c r="F136" s="3">
        <v>59</v>
      </c>
      <c r="G136" s="9">
        <f>F136/F124-1</f>
        <v>-0.28915662650602414</v>
      </c>
      <c r="H136" s="3">
        <v>267</v>
      </c>
      <c r="I136" s="185">
        <f t="shared" si="25"/>
        <v>-0.31887755102040816</v>
      </c>
      <c r="J136" s="3">
        <v>194</v>
      </c>
      <c r="K136" s="74">
        <f t="shared" si="22"/>
        <v>0.26797385620915032</v>
      </c>
      <c r="L136" s="3">
        <v>3</v>
      </c>
      <c r="M136" s="225">
        <f t="shared" si="20"/>
        <v>-0.99743808710503845</v>
      </c>
      <c r="N136" s="412"/>
      <c r="O136" s="422"/>
      <c r="P136" s="3"/>
      <c r="Q136" s="9"/>
      <c r="R136" s="3"/>
      <c r="S136" s="9"/>
    </row>
    <row r="137" spans="1:20" s="157" customFormat="1">
      <c r="A137" s="462"/>
      <c r="B137" s="15" t="s">
        <v>30</v>
      </c>
      <c r="C137" s="3">
        <v>1430677</v>
      </c>
      <c r="D137" s="9">
        <f>C137/C125-1</f>
        <v>0.18781315822901989</v>
      </c>
      <c r="E137" s="178"/>
      <c r="F137" s="3">
        <v>120</v>
      </c>
      <c r="G137" s="9">
        <f>F137/F125-1</f>
        <v>0.17647058823529416</v>
      </c>
      <c r="H137" s="3">
        <v>305</v>
      </c>
      <c r="I137" s="186">
        <f t="shared" si="25"/>
        <v>-4.9844236760124616E-2</v>
      </c>
      <c r="J137" s="3">
        <v>183</v>
      </c>
      <c r="K137" s="85">
        <f t="shared" si="22"/>
        <v>0.17307692307692307</v>
      </c>
      <c r="L137" s="3">
        <v>11</v>
      </c>
      <c r="M137" s="225">
        <f t="shared" si="20"/>
        <v>-0.99256254225828267</v>
      </c>
      <c r="N137" s="413"/>
      <c r="O137" s="423"/>
      <c r="P137" s="3"/>
      <c r="Q137" s="9"/>
      <c r="R137" s="3"/>
      <c r="S137" s="9"/>
    </row>
    <row r="138" spans="1:20" s="157" customFormat="1">
      <c r="A138" s="457" t="s">
        <v>191</v>
      </c>
      <c r="B138" s="2" t="s">
        <v>170</v>
      </c>
      <c r="C138" s="25">
        <v>1834538</v>
      </c>
      <c r="D138" s="24">
        <f t="shared" ref="D138:D149" si="26">(C138-C126)/C126</f>
        <v>0.24891704898145078</v>
      </c>
      <c r="E138" s="178"/>
      <c r="F138" s="25">
        <v>95</v>
      </c>
      <c r="G138" s="24">
        <f t="shared" ref="G138:G161" si="27">(F138-F126)/F126</f>
        <v>-5.9405940594059403E-2</v>
      </c>
      <c r="H138" s="25">
        <v>192</v>
      </c>
      <c r="I138" s="185">
        <f t="shared" si="25"/>
        <v>-0.18644067796610164</v>
      </c>
      <c r="J138" s="25">
        <v>221</v>
      </c>
      <c r="K138" s="74">
        <f t="shared" si="22"/>
        <v>7.281553398058252E-2</v>
      </c>
      <c r="L138" s="25">
        <v>1306</v>
      </c>
      <c r="M138" s="226">
        <f t="shared" si="20"/>
        <v>-0.40824648844585409</v>
      </c>
      <c r="N138" s="411">
        <v>5322</v>
      </c>
      <c r="O138" s="421">
        <f>N138/N126-1</f>
        <v>9.2926227953726848E-3</v>
      </c>
      <c r="P138" s="25"/>
      <c r="Q138" s="24"/>
      <c r="R138" s="25"/>
      <c r="S138" s="24"/>
    </row>
    <row r="139" spans="1:20" s="157" customFormat="1">
      <c r="A139" s="461"/>
      <c r="B139" s="15" t="s">
        <v>171</v>
      </c>
      <c r="C139" s="3">
        <v>1445609</v>
      </c>
      <c r="D139" s="196">
        <f t="shared" si="26"/>
        <v>0.10126283344874581</v>
      </c>
      <c r="E139" s="178"/>
      <c r="F139" s="5">
        <v>88</v>
      </c>
      <c r="G139" s="196">
        <f t="shared" si="27"/>
        <v>-8.3333333333333329E-2</v>
      </c>
      <c r="H139" s="3">
        <v>154</v>
      </c>
      <c r="I139" s="196">
        <f t="shared" si="25"/>
        <v>-0.38645418326693226</v>
      </c>
      <c r="J139" s="3">
        <v>159</v>
      </c>
      <c r="K139" s="74">
        <f t="shared" si="22"/>
        <v>0.17777777777777778</v>
      </c>
      <c r="L139" s="7">
        <v>871</v>
      </c>
      <c r="M139" s="74">
        <f t="shared" si="20"/>
        <v>-0.3720259552992069</v>
      </c>
      <c r="N139" s="412"/>
      <c r="O139" s="422"/>
      <c r="P139" s="3"/>
      <c r="Q139" s="9"/>
      <c r="R139" s="3"/>
      <c r="S139" s="9"/>
    </row>
    <row r="140" spans="1:20" s="157" customFormat="1">
      <c r="A140" s="461"/>
      <c r="B140" s="15" t="s">
        <v>21</v>
      </c>
      <c r="C140" s="3">
        <v>1416683</v>
      </c>
      <c r="D140" s="219">
        <f t="shared" si="26"/>
        <v>0.23087182080334748</v>
      </c>
      <c r="E140" s="178"/>
      <c r="F140" s="5">
        <v>73</v>
      </c>
      <c r="G140" s="219">
        <f t="shared" si="27"/>
        <v>-0.20652173913043478</v>
      </c>
      <c r="H140" s="3">
        <v>254</v>
      </c>
      <c r="I140" s="219">
        <f t="shared" si="25"/>
        <v>7.1729957805907185E-2</v>
      </c>
      <c r="J140" s="3">
        <v>142</v>
      </c>
      <c r="K140" s="74">
        <f t="shared" si="22"/>
        <v>5.9701492537313432E-2</v>
      </c>
      <c r="L140" s="7">
        <v>954</v>
      </c>
      <c r="M140" s="74">
        <f t="shared" si="20"/>
        <v>-0.20961060480530241</v>
      </c>
      <c r="N140" s="412"/>
      <c r="O140" s="422"/>
      <c r="P140" s="3"/>
      <c r="Q140" s="9"/>
      <c r="R140" s="3"/>
      <c r="S140" s="9"/>
    </row>
    <row r="141" spans="1:20" s="157" customFormat="1">
      <c r="A141" s="461"/>
      <c r="B141" s="73" t="s">
        <v>22</v>
      </c>
      <c r="C141" s="3">
        <v>1495460</v>
      </c>
      <c r="D141" s="221">
        <f t="shared" si="26"/>
        <v>0.26746250693923562</v>
      </c>
      <c r="E141" s="178"/>
      <c r="F141" s="5">
        <v>96</v>
      </c>
      <c r="G141" s="222">
        <f t="shared" si="27"/>
        <v>-0.15789473684210525</v>
      </c>
      <c r="H141" s="3">
        <v>247</v>
      </c>
      <c r="I141" s="222">
        <f t="shared" si="25"/>
        <v>-0.29022988505747127</v>
      </c>
      <c r="J141" s="3">
        <v>204</v>
      </c>
      <c r="K141" s="74">
        <f t="shared" si="22"/>
        <v>0.20710059171597633</v>
      </c>
      <c r="L141" s="7">
        <v>890</v>
      </c>
      <c r="M141" s="74">
        <f t="shared" si="20"/>
        <v>-0.19237749546279492</v>
      </c>
      <c r="N141" s="412"/>
      <c r="O141" s="422"/>
      <c r="P141" s="3"/>
      <c r="Q141" s="9"/>
      <c r="R141" s="3"/>
      <c r="S141" s="9"/>
    </row>
    <row r="142" spans="1:20" s="157" customFormat="1">
      <c r="A142" s="461"/>
      <c r="B142" s="15" t="s">
        <v>23</v>
      </c>
      <c r="C142" s="3">
        <v>1579265</v>
      </c>
      <c r="D142" s="225">
        <f t="shared" si="26"/>
        <v>0.29130100253229141</v>
      </c>
      <c r="E142" s="178"/>
      <c r="F142" s="5">
        <v>162</v>
      </c>
      <c r="G142" s="225">
        <f t="shared" si="27"/>
        <v>0.44642857142857145</v>
      </c>
      <c r="H142" s="3">
        <v>209</v>
      </c>
      <c r="I142" s="225">
        <f t="shared" si="25"/>
        <v>-0.44999999999999996</v>
      </c>
      <c r="J142" s="3">
        <v>180</v>
      </c>
      <c r="K142" s="74">
        <f t="shared" si="22"/>
        <v>5.2631578947368418E-2</v>
      </c>
      <c r="L142" s="7">
        <v>943</v>
      </c>
      <c r="M142" s="74">
        <f t="shared" si="20"/>
        <v>-0.13802559414990859</v>
      </c>
      <c r="N142" s="412"/>
      <c r="O142" s="422"/>
      <c r="P142" s="3"/>
      <c r="Q142" s="9"/>
      <c r="R142" s="3"/>
      <c r="S142" s="9"/>
    </row>
    <row r="143" spans="1:20" s="157" customFormat="1">
      <c r="A143" s="461"/>
      <c r="B143" s="73" t="s">
        <v>24</v>
      </c>
      <c r="C143" s="3">
        <v>1373551</v>
      </c>
      <c r="D143" s="231">
        <f t="shared" si="26"/>
        <v>8.116249579869636E-2</v>
      </c>
      <c r="E143" s="178"/>
      <c r="F143" s="5">
        <v>120</v>
      </c>
      <c r="G143" s="238">
        <f t="shared" si="27"/>
        <v>0.36363636363636365</v>
      </c>
      <c r="H143" s="3">
        <v>276</v>
      </c>
      <c r="I143" s="238">
        <f t="shared" si="25"/>
        <v>9.0909090909090828E-2</v>
      </c>
      <c r="J143" s="3">
        <v>150</v>
      </c>
      <c r="K143" s="74">
        <f t="shared" si="22"/>
        <v>-0.2537313432835821</v>
      </c>
      <c r="L143" s="7">
        <v>801</v>
      </c>
      <c r="M143" s="74">
        <f t="shared" si="20"/>
        <v>-0.28673196794300981</v>
      </c>
      <c r="N143" s="412"/>
      <c r="O143" s="422"/>
      <c r="P143" s="3"/>
      <c r="Q143" s="9"/>
      <c r="R143" s="3"/>
      <c r="S143" s="9"/>
    </row>
    <row r="144" spans="1:20" s="157" customFormat="1">
      <c r="A144" s="461"/>
      <c r="B144" s="15" t="s">
        <v>25</v>
      </c>
      <c r="C144" s="90">
        <v>1675332</v>
      </c>
      <c r="D144" s="266">
        <f t="shared" si="26"/>
        <v>0.1515931797950914</v>
      </c>
      <c r="E144" s="178"/>
      <c r="F144" s="5">
        <v>83</v>
      </c>
      <c r="G144" s="264">
        <f t="shared" si="27"/>
        <v>0.36065573770491804</v>
      </c>
      <c r="H144" s="3">
        <v>197</v>
      </c>
      <c r="I144" s="264">
        <f t="shared" si="25"/>
        <v>0.26282051282051277</v>
      </c>
      <c r="J144" s="3">
        <v>171</v>
      </c>
      <c r="K144" s="74">
        <f t="shared" si="22"/>
        <v>-0.25327510917030566</v>
      </c>
      <c r="L144" s="7">
        <v>1448</v>
      </c>
      <c r="M144" s="74">
        <f t="shared" si="20"/>
        <v>-5.4830287206266322E-2</v>
      </c>
      <c r="N144" s="412"/>
      <c r="O144" s="422"/>
      <c r="P144" s="3"/>
      <c r="Q144" s="9"/>
      <c r="R144" s="3"/>
      <c r="S144" s="9"/>
    </row>
    <row r="145" spans="1:45" s="157" customFormat="1">
      <c r="A145" s="461"/>
      <c r="B145" s="73" t="s">
        <v>26</v>
      </c>
      <c r="C145" s="90">
        <v>1835249</v>
      </c>
      <c r="D145" s="266">
        <f t="shared" si="26"/>
        <v>0.18617974615965815</v>
      </c>
      <c r="E145" s="178"/>
      <c r="F145" s="5">
        <v>74</v>
      </c>
      <c r="G145" s="266">
        <f t="shared" si="27"/>
        <v>0.19354838709677419</v>
      </c>
      <c r="H145" s="3">
        <v>182</v>
      </c>
      <c r="I145" s="266">
        <f t="shared" si="25"/>
        <v>0.50413223140495877</v>
      </c>
      <c r="J145" s="3">
        <v>308</v>
      </c>
      <c r="K145" s="74">
        <f t="shared" si="22"/>
        <v>0.33333333333333331</v>
      </c>
      <c r="L145" s="7">
        <v>1434</v>
      </c>
      <c r="M145" s="74">
        <f t="shared" si="20"/>
        <v>-4.590818363273453E-2</v>
      </c>
      <c r="N145" s="412"/>
      <c r="O145" s="422"/>
      <c r="P145" s="3"/>
      <c r="Q145" s="9"/>
      <c r="R145" s="3"/>
      <c r="S145" s="9"/>
    </row>
    <row r="146" spans="1:45" s="157" customFormat="1">
      <c r="A146" s="461"/>
      <c r="B146" s="73" t="s">
        <v>27</v>
      </c>
      <c r="C146" s="90">
        <v>1511657</v>
      </c>
      <c r="D146" s="267">
        <f t="shared" si="26"/>
        <v>0.14407402445937426</v>
      </c>
      <c r="E146" s="178"/>
      <c r="F146" s="5">
        <v>116</v>
      </c>
      <c r="G146" s="267">
        <f t="shared" si="27"/>
        <v>0.36470588235294116</v>
      </c>
      <c r="H146" s="3">
        <v>267</v>
      </c>
      <c r="I146" s="267">
        <f t="shared" si="25"/>
        <v>-0.11881188118811881</v>
      </c>
      <c r="J146" s="3">
        <v>218</v>
      </c>
      <c r="K146" s="74">
        <f t="shared" si="22"/>
        <v>0.67692307692307696</v>
      </c>
      <c r="L146" s="7">
        <v>1292</v>
      </c>
      <c r="M146" s="74">
        <f>(L146-L134)/L134</f>
        <v>0.48505747126436782</v>
      </c>
      <c r="N146" s="412"/>
      <c r="O146" s="422"/>
      <c r="P146" s="3"/>
      <c r="Q146" s="9"/>
      <c r="R146" s="3"/>
      <c r="S146" s="9"/>
    </row>
    <row r="147" spans="1:45" s="157" customFormat="1">
      <c r="A147" s="461"/>
      <c r="B147" s="15" t="s">
        <v>28</v>
      </c>
      <c r="C147" s="90">
        <v>1735308</v>
      </c>
      <c r="D147" s="39">
        <f t="shared" si="26"/>
        <v>0.21172264506668528</v>
      </c>
      <c r="E147" s="178"/>
      <c r="F147" s="5">
        <v>150</v>
      </c>
      <c r="G147" s="270">
        <f t="shared" si="27"/>
        <v>0.7857142857142857</v>
      </c>
      <c r="H147" s="3">
        <v>442</v>
      </c>
      <c r="I147" s="270">
        <f t="shared" si="25"/>
        <v>0.3600000000000001</v>
      </c>
      <c r="J147" s="3">
        <v>171</v>
      </c>
      <c r="K147" s="9">
        <f t="shared" ref="K147:K160" si="28">J147/J135-1</f>
        <v>0.2127659574468086</v>
      </c>
      <c r="L147" s="7">
        <v>1033</v>
      </c>
      <c r="M147" s="74">
        <f>(L147-L135)/L135</f>
        <v>0.28004956629491945</v>
      </c>
      <c r="N147" s="412"/>
      <c r="O147" s="422"/>
      <c r="P147" s="3"/>
      <c r="Q147" s="9"/>
      <c r="R147" s="3"/>
      <c r="S147" s="9"/>
    </row>
    <row r="148" spans="1:45" s="157" customFormat="1">
      <c r="A148" s="461"/>
      <c r="B148" s="15" t="s">
        <v>29</v>
      </c>
      <c r="C148" s="90">
        <v>1626063</v>
      </c>
      <c r="D148" s="39">
        <f t="shared" si="26"/>
        <v>0.26173265029633275</v>
      </c>
      <c r="E148" s="178"/>
      <c r="F148" s="5">
        <v>175</v>
      </c>
      <c r="G148" s="275">
        <f t="shared" si="27"/>
        <v>1.9661016949152543</v>
      </c>
      <c r="H148" s="3">
        <v>651</v>
      </c>
      <c r="I148" s="275">
        <f t="shared" si="25"/>
        <v>1.4382022471910112</v>
      </c>
      <c r="J148" s="3">
        <v>183</v>
      </c>
      <c r="K148" s="9">
        <f t="shared" si="28"/>
        <v>-5.6701030927835072E-2</v>
      </c>
      <c r="L148" s="7">
        <v>1139</v>
      </c>
      <c r="M148" s="9">
        <f t="shared" ref="M148:M159" si="29">L148/L136-1</f>
        <v>378.66666666666669</v>
      </c>
      <c r="N148" s="412"/>
      <c r="O148" s="422"/>
      <c r="P148" s="3"/>
      <c r="Q148" s="9"/>
      <c r="R148" s="3"/>
      <c r="S148" s="9"/>
    </row>
    <row r="149" spans="1:45" s="157" customFormat="1">
      <c r="A149" s="461"/>
      <c r="B149" s="294" t="s">
        <v>30</v>
      </c>
      <c r="C149" s="280">
        <v>1781715</v>
      </c>
      <c r="D149" s="39">
        <f t="shared" si="26"/>
        <v>0.2453649565904813</v>
      </c>
      <c r="E149" s="178"/>
      <c r="F149" s="5">
        <v>139</v>
      </c>
      <c r="G149" s="276">
        <f t="shared" si="27"/>
        <v>0.15833333333333333</v>
      </c>
      <c r="H149" s="3">
        <v>423</v>
      </c>
      <c r="I149" s="281">
        <f t="shared" si="25"/>
        <v>0.38688524590163942</v>
      </c>
      <c r="J149" s="3">
        <v>208</v>
      </c>
      <c r="K149" s="9">
        <f t="shared" si="28"/>
        <v>0.13661202185792343</v>
      </c>
      <c r="L149" s="7">
        <v>1450</v>
      </c>
      <c r="M149" s="9">
        <f t="shared" si="29"/>
        <v>130.81818181818181</v>
      </c>
      <c r="N149" s="413"/>
      <c r="O149" s="423"/>
      <c r="P149" s="3"/>
      <c r="Q149" s="9"/>
      <c r="R149" s="3"/>
      <c r="S149" s="9"/>
    </row>
    <row r="150" spans="1:45" s="332" customFormat="1">
      <c r="A150" s="457" t="s">
        <v>219</v>
      </c>
      <c r="B150" s="326" t="s">
        <v>220</v>
      </c>
      <c r="C150" s="327">
        <v>2112337</v>
      </c>
      <c r="D150" s="290">
        <f t="shared" ref="D150:D154" si="30">C150/C138-1</f>
        <v>0.15142722581925261</v>
      </c>
      <c r="E150" s="328"/>
      <c r="F150" s="329">
        <v>137</v>
      </c>
      <c r="G150" s="407">
        <f t="shared" si="27"/>
        <v>0.44210526315789472</v>
      </c>
      <c r="H150" s="313">
        <v>381</v>
      </c>
      <c r="I150" s="298">
        <f t="shared" ref="I150:I161" si="31">H150/H138-1</f>
        <v>0.984375</v>
      </c>
      <c r="J150" s="313">
        <v>215</v>
      </c>
      <c r="K150" s="298">
        <f t="shared" si="28"/>
        <v>-2.714932126696834E-2</v>
      </c>
      <c r="L150" s="330">
        <v>2187</v>
      </c>
      <c r="M150" s="298">
        <f t="shared" si="29"/>
        <v>0.67457886676875956</v>
      </c>
      <c r="N150" s="313"/>
      <c r="O150" s="298"/>
      <c r="P150" s="313"/>
      <c r="Q150" s="298"/>
      <c r="R150" s="313"/>
      <c r="S150" s="298"/>
    </row>
    <row r="151" spans="1:45" s="157" customFormat="1">
      <c r="A151" s="461"/>
      <c r="B151" s="294" t="s">
        <v>223</v>
      </c>
      <c r="C151" s="312">
        <v>1876928</v>
      </c>
      <c r="D151" s="384">
        <f t="shared" si="30"/>
        <v>0.29836491056710357</v>
      </c>
      <c r="E151" s="178"/>
      <c r="F151" s="5">
        <v>125</v>
      </c>
      <c r="G151" s="406">
        <f t="shared" si="27"/>
        <v>0.42045454545454547</v>
      </c>
      <c r="H151" s="3">
        <v>331</v>
      </c>
      <c r="I151" s="305">
        <f t="shared" si="31"/>
        <v>1.1493506493506493</v>
      </c>
      <c r="J151" s="3">
        <v>157</v>
      </c>
      <c r="K151" s="74">
        <f t="shared" si="28"/>
        <v>-1.2578616352201255E-2</v>
      </c>
      <c r="L151" s="7">
        <v>1409</v>
      </c>
      <c r="M151" s="305">
        <f t="shared" si="29"/>
        <v>0.61768082663605051</v>
      </c>
      <c r="N151" s="3"/>
      <c r="O151" s="305"/>
      <c r="P151" s="3"/>
      <c r="Q151" s="305"/>
      <c r="R151" s="3"/>
      <c r="S151" s="305"/>
    </row>
    <row r="152" spans="1:45" s="157" customFormat="1">
      <c r="A152" s="461"/>
      <c r="B152" s="102" t="s">
        <v>224</v>
      </c>
      <c r="C152" s="336">
        <v>1569162</v>
      </c>
      <c r="D152" s="250">
        <f t="shared" si="30"/>
        <v>0.1076309943720648</v>
      </c>
      <c r="E152" s="178"/>
      <c r="F152" s="5">
        <v>104</v>
      </c>
      <c r="G152" s="406">
        <f t="shared" si="27"/>
        <v>0.42465753424657532</v>
      </c>
      <c r="H152" s="3">
        <v>478</v>
      </c>
      <c r="I152" s="316">
        <f t="shared" si="31"/>
        <v>0.88188976377952755</v>
      </c>
      <c r="J152" s="3">
        <v>204</v>
      </c>
      <c r="K152" s="74">
        <f t="shared" si="28"/>
        <v>0.43661971830985924</v>
      </c>
      <c r="L152" s="7">
        <v>1463</v>
      </c>
      <c r="M152" s="316">
        <f t="shared" si="29"/>
        <v>0.53354297693920327</v>
      </c>
      <c r="N152" s="3"/>
      <c r="O152" s="316"/>
      <c r="P152" s="3"/>
      <c r="Q152" s="316"/>
      <c r="R152" s="3"/>
      <c r="S152" s="316"/>
    </row>
    <row r="153" spans="1:45" s="157" customFormat="1">
      <c r="A153" s="461"/>
      <c r="B153" s="102" t="s">
        <v>225</v>
      </c>
      <c r="C153" s="336">
        <v>1636597</v>
      </c>
      <c r="D153" s="250">
        <f t="shared" si="30"/>
        <v>9.4376980995813931E-2</v>
      </c>
      <c r="E153" s="178"/>
      <c r="F153" s="5">
        <v>143</v>
      </c>
      <c r="G153" s="406">
        <f t="shared" si="27"/>
        <v>0.48958333333333331</v>
      </c>
      <c r="H153" s="3">
        <v>546</v>
      </c>
      <c r="I153" s="341">
        <f t="shared" si="31"/>
        <v>1.2105263157894739</v>
      </c>
      <c r="J153" s="3">
        <v>156</v>
      </c>
      <c r="K153" s="74">
        <f t="shared" si="28"/>
        <v>-0.23529411764705888</v>
      </c>
      <c r="L153" s="7">
        <v>1177</v>
      </c>
      <c r="M153" s="348">
        <f t="shared" si="29"/>
        <v>0.32247191011235965</v>
      </c>
      <c r="N153" s="3"/>
      <c r="O153" s="341"/>
      <c r="P153" s="3"/>
      <c r="Q153" s="341"/>
      <c r="R153" s="3"/>
      <c r="S153" s="341"/>
    </row>
    <row r="154" spans="1:45" s="157" customFormat="1">
      <c r="A154" s="461"/>
      <c r="B154" s="294" t="s">
        <v>226</v>
      </c>
      <c r="C154" s="336">
        <v>1656728</v>
      </c>
      <c r="D154" s="250">
        <f t="shared" si="30"/>
        <v>4.9050032768408025E-2</v>
      </c>
      <c r="E154" s="178"/>
      <c r="F154" s="5">
        <v>162</v>
      </c>
      <c r="G154" s="406">
        <f t="shared" si="27"/>
        <v>0</v>
      </c>
      <c r="H154" s="3">
        <v>538</v>
      </c>
      <c r="I154" s="348">
        <f t="shared" si="31"/>
        <v>1.5741626794258372</v>
      </c>
      <c r="J154" s="3">
        <v>138</v>
      </c>
      <c r="K154" s="74">
        <f t="shared" si="28"/>
        <v>-0.23333333333333328</v>
      </c>
      <c r="L154" s="7">
        <v>1312</v>
      </c>
      <c r="M154" s="357">
        <f t="shared" si="29"/>
        <v>0.39130434782608692</v>
      </c>
      <c r="N154" s="3"/>
      <c r="O154" s="348"/>
      <c r="P154" s="3"/>
      <c r="Q154" s="348"/>
      <c r="R154" s="3"/>
      <c r="S154" s="348"/>
    </row>
    <row r="155" spans="1:45" s="157" customFormat="1">
      <c r="A155" s="461"/>
      <c r="B155" s="294" t="s">
        <v>24</v>
      </c>
      <c r="C155" s="336">
        <v>1778317</v>
      </c>
      <c r="D155" s="250">
        <f t="shared" ref="D155:D161" si="32">C155/C143-1</f>
        <v>0.29468581800020521</v>
      </c>
      <c r="E155" s="178"/>
      <c r="F155" s="5">
        <v>142</v>
      </c>
      <c r="G155" s="406">
        <f t="shared" si="27"/>
        <v>0.18333333333333332</v>
      </c>
      <c r="H155" s="3">
        <v>438</v>
      </c>
      <c r="I155" s="356">
        <f t="shared" si="31"/>
        <v>0.58695652173913038</v>
      </c>
      <c r="J155" s="3">
        <v>164</v>
      </c>
      <c r="K155" s="74">
        <f t="shared" si="28"/>
        <v>9.3333333333333268E-2</v>
      </c>
      <c r="L155" s="7">
        <v>1135</v>
      </c>
      <c r="M155" s="365">
        <f t="shared" si="29"/>
        <v>0.41697877652933824</v>
      </c>
      <c r="N155" s="3"/>
      <c r="O155" s="356"/>
      <c r="P155" s="3"/>
      <c r="Q155" s="356"/>
      <c r="R155" s="3"/>
      <c r="S155" s="356"/>
    </row>
    <row r="156" spans="1:45" s="157" customFormat="1">
      <c r="A156" s="461"/>
      <c r="B156" s="294" t="s">
        <v>25</v>
      </c>
      <c r="C156" s="336">
        <v>2086068</v>
      </c>
      <c r="D156" s="250">
        <f t="shared" si="32"/>
        <v>0.24516692810738405</v>
      </c>
      <c r="E156" s="178"/>
      <c r="F156" s="5">
        <v>96</v>
      </c>
      <c r="G156" s="406">
        <f t="shared" si="27"/>
        <v>0.15662650602409639</v>
      </c>
      <c r="H156" s="3">
        <v>243</v>
      </c>
      <c r="I156" s="365">
        <f t="shared" si="31"/>
        <v>0.23350253807106602</v>
      </c>
      <c r="J156" s="3">
        <v>231</v>
      </c>
      <c r="K156" s="74">
        <f t="shared" si="28"/>
        <v>0.35087719298245612</v>
      </c>
      <c r="L156" s="7">
        <v>1852</v>
      </c>
      <c r="M156" s="377">
        <f t="shared" si="29"/>
        <v>0.27900552486187835</v>
      </c>
      <c r="N156" s="3"/>
      <c r="O156" s="365"/>
      <c r="P156" s="3"/>
      <c r="Q156" s="365"/>
      <c r="R156" s="3"/>
      <c r="S156" s="365"/>
    </row>
    <row r="157" spans="1:45" s="337" customFormat="1">
      <c r="A157" s="461"/>
      <c r="B157" s="294" t="s">
        <v>227</v>
      </c>
      <c r="C157" s="336">
        <v>2064241</v>
      </c>
      <c r="D157" s="250">
        <f t="shared" si="32"/>
        <v>0.1247743494207052</v>
      </c>
      <c r="E157" s="295"/>
      <c r="F157" s="289">
        <v>100</v>
      </c>
      <c r="G157" s="406">
        <f t="shared" si="27"/>
        <v>0.35135135135135137</v>
      </c>
      <c r="H157" s="254">
        <v>299</v>
      </c>
      <c r="I157" s="377">
        <f t="shared" si="31"/>
        <v>0.64285714285714279</v>
      </c>
      <c r="J157" s="254">
        <v>252</v>
      </c>
      <c r="K157" s="74">
        <f t="shared" si="28"/>
        <v>-0.18181818181818177</v>
      </c>
      <c r="L157" s="256">
        <v>2113</v>
      </c>
      <c r="M157" s="385">
        <f t="shared" si="29"/>
        <v>0.47350069735006972</v>
      </c>
      <c r="N157" s="254"/>
      <c r="O157" s="250"/>
      <c r="P157" s="254"/>
      <c r="Q157" s="250"/>
      <c r="R157" s="256"/>
      <c r="S157" s="250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374"/>
      <c r="AG157" s="89"/>
      <c r="AH157" s="289"/>
      <c r="AI157" s="255"/>
      <c r="AJ157" s="254"/>
      <c r="AK157" s="250"/>
      <c r="AL157" s="143"/>
      <c r="AM157" s="250"/>
      <c r="AN157" s="375"/>
      <c r="AO157" s="373"/>
      <c r="AP157" s="254"/>
      <c r="AQ157" s="250"/>
      <c r="AR157" s="254"/>
      <c r="AS157" s="250"/>
    </row>
    <row r="158" spans="1:45" s="337" customFormat="1">
      <c r="A158" s="461"/>
      <c r="B158" s="294" t="s">
        <v>27</v>
      </c>
      <c r="C158" s="336">
        <v>1904524</v>
      </c>
      <c r="D158" s="250">
        <f t="shared" si="32"/>
        <v>0.25989162885495842</v>
      </c>
      <c r="E158" s="295"/>
      <c r="F158" s="289">
        <v>109</v>
      </c>
      <c r="G158" s="406">
        <f t="shared" si="27"/>
        <v>-6.0344827586206899E-2</v>
      </c>
      <c r="H158" s="254">
        <v>482</v>
      </c>
      <c r="I158" s="391">
        <f t="shared" si="31"/>
        <v>0.80524344569288386</v>
      </c>
      <c r="J158" s="254">
        <v>238</v>
      </c>
      <c r="K158" s="74">
        <f t="shared" si="28"/>
        <v>9.174311926605494E-2</v>
      </c>
      <c r="L158" s="256">
        <v>1613</v>
      </c>
      <c r="M158" s="395">
        <f t="shared" si="29"/>
        <v>0.24845201238390091</v>
      </c>
      <c r="N158" s="254"/>
      <c r="O158" s="250"/>
      <c r="P158" s="254"/>
      <c r="Q158" s="250"/>
      <c r="R158" s="256"/>
      <c r="S158" s="250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387"/>
      <c r="AG158" s="388"/>
      <c r="AH158" s="256"/>
      <c r="AI158" s="386"/>
      <c r="AJ158" s="256"/>
      <c r="AK158" s="386"/>
      <c r="AL158" s="389"/>
      <c r="AM158" s="386"/>
      <c r="AN158" s="390"/>
      <c r="AO158" s="388"/>
      <c r="AP158" s="256"/>
      <c r="AQ158" s="386"/>
      <c r="AR158" s="256"/>
      <c r="AS158" s="386"/>
    </row>
    <row r="159" spans="1:45" s="337" customFormat="1">
      <c r="A159" s="461"/>
      <c r="B159" s="294" t="s">
        <v>28</v>
      </c>
      <c r="C159" s="336">
        <v>1865552</v>
      </c>
      <c r="D159" s="250">
        <f t="shared" si="32"/>
        <v>7.5055263964667995E-2</v>
      </c>
      <c r="E159" s="295"/>
      <c r="F159" s="289">
        <v>189</v>
      </c>
      <c r="G159" s="406">
        <f t="shared" si="27"/>
        <v>0.26</v>
      </c>
      <c r="H159" s="254">
        <v>796</v>
      </c>
      <c r="I159" s="393">
        <f t="shared" si="31"/>
        <v>0.80090497737556565</v>
      </c>
      <c r="J159" s="254">
        <v>193</v>
      </c>
      <c r="K159" s="74">
        <f t="shared" si="28"/>
        <v>0.12865497076023402</v>
      </c>
      <c r="L159" s="256">
        <v>1241</v>
      </c>
      <c r="M159" s="406">
        <f t="shared" si="29"/>
        <v>0.20135527589545021</v>
      </c>
      <c r="N159" s="254"/>
      <c r="O159" s="250"/>
      <c r="P159" s="254"/>
      <c r="Q159" s="250"/>
      <c r="R159" s="256"/>
      <c r="S159" s="250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387"/>
      <c r="AG159" s="388"/>
      <c r="AH159" s="256"/>
      <c r="AI159" s="386"/>
      <c r="AJ159" s="256"/>
      <c r="AK159" s="386"/>
      <c r="AL159" s="389"/>
      <c r="AM159" s="386"/>
      <c r="AN159" s="390"/>
      <c r="AO159" s="388"/>
      <c r="AP159" s="256"/>
      <c r="AQ159" s="386"/>
      <c r="AR159" s="256"/>
      <c r="AS159" s="386"/>
    </row>
    <row r="160" spans="1:45" s="337" customFormat="1">
      <c r="A160" s="461"/>
      <c r="B160" s="294" t="s">
        <v>29</v>
      </c>
      <c r="C160" s="336">
        <v>1825701</v>
      </c>
      <c r="D160" s="250">
        <f t="shared" si="32"/>
        <v>0.12277384086594423</v>
      </c>
      <c r="E160" s="295"/>
      <c r="F160" s="289">
        <v>224</v>
      </c>
      <c r="G160" s="406">
        <f t="shared" si="27"/>
        <v>0.28000000000000003</v>
      </c>
      <c r="H160" s="254">
        <v>924</v>
      </c>
      <c r="I160" s="395">
        <f t="shared" si="31"/>
        <v>0.41935483870967749</v>
      </c>
      <c r="J160" s="254">
        <v>159</v>
      </c>
      <c r="K160" s="74">
        <f t="shared" si="28"/>
        <v>-0.13114754098360659</v>
      </c>
      <c r="L160" s="256"/>
      <c r="M160" s="250"/>
      <c r="N160" s="254"/>
      <c r="O160" s="250"/>
      <c r="P160" s="254"/>
      <c r="Q160" s="250"/>
      <c r="R160" s="256"/>
      <c r="S160" s="250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387"/>
      <c r="AG160" s="388"/>
      <c r="AH160" s="256"/>
      <c r="AI160" s="386"/>
      <c r="AJ160" s="256"/>
      <c r="AK160" s="386"/>
      <c r="AL160" s="389"/>
      <c r="AM160" s="386"/>
      <c r="AN160" s="390"/>
      <c r="AO160" s="388"/>
      <c r="AP160" s="256"/>
      <c r="AQ160" s="386"/>
      <c r="AR160" s="256"/>
      <c r="AS160" s="386"/>
    </row>
    <row r="161" spans="1:45" s="337" customFormat="1" ht="14.25" thickBot="1">
      <c r="A161" s="461"/>
      <c r="B161" s="294" t="s">
        <v>30</v>
      </c>
      <c r="C161" s="336">
        <v>2007035</v>
      </c>
      <c r="D161" s="250">
        <f t="shared" si="32"/>
        <v>0.12646242524758455</v>
      </c>
      <c r="E161" s="295"/>
      <c r="F161" s="289">
        <v>127</v>
      </c>
      <c r="G161" s="406">
        <f t="shared" si="27"/>
        <v>-8.6330935251798566E-2</v>
      </c>
      <c r="H161" s="254">
        <v>569</v>
      </c>
      <c r="I161" s="383">
        <f t="shared" si="31"/>
        <v>0.34515366430260053</v>
      </c>
      <c r="J161" s="254"/>
      <c r="K161" s="74"/>
      <c r="L161" s="256"/>
      <c r="M161" s="250"/>
      <c r="N161" s="254"/>
      <c r="O161" s="250"/>
      <c r="P161" s="254"/>
      <c r="Q161" s="250"/>
      <c r="R161" s="256"/>
      <c r="S161" s="250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387"/>
      <c r="AG161" s="388"/>
      <c r="AH161" s="256"/>
      <c r="AI161" s="386"/>
      <c r="AJ161" s="256"/>
      <c r="AK161" s="386"/>
      <c r="AL161" s="389"/>
      <c r="AM161" s="386"/>
      <c r="AN161" s="390"/>
      <c r="AO161" s="388"/>
      <c r="AP161" s="256"/>
      <c r="AQ161" s="386"/>
      <c r="AR161" s="256"/>
      <c r="AS161" s="386"/>
    </row>
    <row r="162" spans="1:45" s="157" customFormat="1" ht="16.5" customHeight="1">
      <c r="A162" s="129" t="s">
        <v>192</v>
      </c>
      <c r="B162" s="92" t="s">
        <v>16</v>
      </c>
      <c r="C162" s="94">
        <v>5508242</v>
      </c>
      <c r="D162" s="93">
        <v>0.26900000000000002</v>
      </c>
      <c r="E162" s="178"/>
      <c r="F162" s="94">
        <v>62</v>
      </c>
      <c r="G162" s="95" t="s">
        <v>17</v>
      </c>
      <c r="H162" s="94"/>
      <c r="I162" s="95"/>
      <c r="J162" s="96" t="s">
        <v>17</v>
      </c>
      <c r="K162" s="95" t="s">
        <v>17</v>
      </c>
      <c r="L162" s="96" t="s">
        <v>17</v>
      </c>
      <c r="M162" s="95" t="s">
        <v>17</v>
      </c>
      <c r="N162" s="96" t="s">
        <v>17</v>
      </c>
      <c r="O162" s="95" t="s">
        <v>17</v>
      </c>
      <c r="P162" s="94"/>
      <c r="Q162" s="95"/>
      <c r="R162" s="94"/>
      <c r="S162" s="95"/>
    </row>
    <row r="163" spans="1:45" s="157" customFormat="1" ht="16.5" customHeight="1">
      <c r="A163" s="130" t="s">
        <v>193</v>
      </c>
      <c r="B163" s="62" t="s">
        <v>16</v>
      </c>
      <c r="C163" s="5">
        <v>6084476</v>
      </c>
      <c r="D163" s="9">
        <f t="shared" ref="D163:D174" si="33">C163/C162-1</f>
        <v>0.10461305077010041</v>
      </c>
      <c r="E163" s="178"/>
      <c r="F163" s="10">
        <v>31</v>
      </c>
      <c r="G163" s="9">
        <f>F163/F162-1</f>
        <v>-0.5</v>
      </c>
      <c r="H163" s="10"/>
      <c r="I163" s="9"/>
      <c r="J163" s="100" t="s">
        <v>17</v>
      </c>
      <c r="K163" s="99" t="s">
        <v>17</v>
      </c>
      <c r="L163" s="100" t="s">
        <v>17</v>
      </c>
      <c r="M163" s="99" t="s">
        <v>17</v>
      </c>
      <c r="N163" s="100" t="s">
        <v>17</v>
      </c>
      <c r="O163" s="99" t="s">
        <v>17</v>
      </c>
      <c r="P163" s="10"/>
      <c r="Q163" s="9"/>
      <c r="R163" s="10"/>
      <c r="S163" s="9"/>
    </row>
    <row r="164" spans="1:45" s="157" customFormat="1" ht="16.5" customHeight="1">
      <c r="A164" s="130" t="s">
        <v>32</v>
      </c>
      <c r="B164" s="62" t="s">
        <v>16</v>
      </c>
      <c r="C164" s="5">
        <v>7123407</v>
      </c>
      <c r="D164" s="9">
        <f t="shared" si="33"/>
        <v>0.17075110494313717</v>
      </c>
      <c r="E164" s="178"/>
      <c r="F164" s="10">
        <v>21</v>
      </c>
      <c r="G164" s="9">
        <f t="shared" ref="G164:G174" si="34">F164/F163-1</f>
        <v>-0.32258064516129037</v>
      </c>
      <c r="H164" s="10"/>
      <c r="I164" s="9"/>
      <c r="J164" s="100" t="s">
        <v>17</v>
      </c>
      <c r="K164" s="99" t="s">
        <v>17</v>
      </c>
      <c r="L164" s="100" t="s">
        <v>17</v>
      </c>
      <c r="M164" s="99" t="s">
        <v>17</v>
      </c>
      <c r="N164" s="100" t="s">
        <v>17</v>
      </c>
      <c r="O164" s="99" t="s">
        <v>17</v>
      </c>
      <c r="P164" s="10"/>
      <c r="Q164" s="9"/>
      <c r="R164" s="10"/>
      <c r="S164" s="9"/>
    </row>
    <row r="165" spans="1:45" s="157" customFormat="1" ht="16.5" customHeight="1">
      <c r="A165" s="130" t="s">
        <v>33</v>
      </c>
      <c r="B165" s="62" t="s">
        <v>16</v>
      </c>
      <c r="C165" s="5">
        <v>7086133</v>
      </c>
      <c r="D165" s="9">
        <f t="shared" si="33"/>
        <v>-5.2326084975911069E-3</v>
      </c>
      <c r="E165" s="178"/>
      <c r="F165" s="10">
        <v>25</v>
      </c>
      <c r="G165" s="9">
        <f t="shared" si="34"/>
        <v>0.19047619047619047</v>
      </c>
      <c r="H165" s="10"/>
      <c r="I165" s="9"/>
      <c r="J165" s="100" t="s">
        <v>17</v>
      </c>
      <c r="K165" s="99" t="s">
        <v>17</v>
      </c>
      <c r="L165" s="100" t="s">
        <v>17</v>
      </c>
      <c r="M165" s="99" t="s">
        <v>17</v>
      </c>
      <c r="N165" s="5">
        <v>6460</v>
      </c>
      <c r="O165" s="99" t="s">
        <v>17</v>
      </c>
      <c r="P165" s="10"/>
      <c r="Q165" s="9"/>
      <c r="R165" s="10"/>
      <c r="S165" s="9"/>
    </row>
    <row r="166" spans="1:45" s="157" customFormat="1" ht="16.5" customHeight="1">
      <c r="A166" s="130" t="s">
        <v>18</v>
      </c>
      <c r="B166" s="62" t="s">
        <v>16</v>
      </c>
      <c r="C166" s="5">
        <v>8825585</v>
      </c>
      <c r="D166" s="9">
        <f t="shared" si="33"/>
        <v>0.24547267176610998</v>
      </c>
      <c r="E166" s="178"/>
      <c r="F166" s="5">
        <f>SUM(F6:F17)</f>
        <v>8</v>
      </c>
      <c r="G166" s="9">
        <f t="shared" si="34"/>
        <v>-0.67999999999999994</v>
      </c>
      <c r="H166" s="5"/>
      <c r="I166" s="9"/>
      <c r="J166" s="100" t="s">
        <v>17</v>
      </c>
      <c r="K166" s="99" t="s">
        <v>17</v>
      </c>
      <c r="L166" s="5">
        <f>SUM(L6:L17)</f>
        <v>13312</v>
      </c>
      <c r="M166" s="99" t="s">
        <v>17</v>
      </c>
      <c r="N166" s="5">
        <v>6514</v>
      </c>
      <c r="O166" s="9">
        <f t="shared" ref="O166:O173" si="35">N166/N165-1</f>
        <v>8.3591331269350366E-3</v>
      </c>
      <c r="P166" s="5"/>
      <c r="Q166" s="9"/>
      <c r="R166" s="5"/>
      <c r="S166" s="9"/>
    </row>
    <row r="167" spans="1:45" s="157" customFormat="1" ht="16.5" customHeight="1">
      <c r="A167" s="130" t="s">
        <v>19</v>
      </c>
      <c r="B167" s="62" t="s">
        <v>16</v>
      </c>
      <c r="C167" s="5">
        <f>SUM(C18:C29)</f>
        <v>10080143</v>
      </c>
      <c r="D167" s="9">
        <f t="shared" si="33"/>
        <v>0.14215012375950153</v>
      </c>
      <c r="E167" s="178"/>
      <c r="F167" s="5">
        <f>SUM(F18:F29)</f>
        <v>30</v>
      </c>
      <c r="G167" s="9">
        <f t="shared" si="34"/>
        <v>2.75</v>
      </c>
      <c r="H167" s="5"/>
      <c r="I167" s="9"/>
      <c r="J167" s="5">
        <f>SUM(J18:J29)</f>
        <v>809</v>
      </c>
      <c r="K167" s="99" t="s">
        <v>17</v>
      </c>
      <c r="L167" s="5">
        <f>SUM(L18:L29)</f>
        <v>14815</v>
      </c>
      <c r="M167" s="9">
        <f t="shared" ref="M167:M173" si="36">L167/L166-1</f>
        <v>0.11290564903846145</v>
      </c>
      <c r="N167" s="5">
        <v>3209</v>
      </c>
      <c r="O167" s="9">
        <f t="shared" si="35"/>
        <v>-0.50736874424316858</v>
      </c>
      <c r="P167" s="5"/>
      <c r="Q167" s="9"/>
      <c r="R167" s="5"/>
      <c r="S167" s="9"/>
    </row>
    <row r="168" spans="1:45" s="157" customFormat="1" ht="16.5" customHeight="1">
      <c r="A168" s="130" t="s">
        <v>20</v>
      </c>
      <c r="B168" s="62" t="s">
        <v>16</v>
      </c>
      <c r="C168" s="5">
        <f>SUM(C30:C41)</f>
        <v>11609879</v>
      </c>
      <c r="D168" s="9">
        <f t="shared" si="33"/>
        <v>0.15175737090237718</v>
      </c>
      <c r="E168" s="178"/>
      <c r="F168" s="5">
        <f>SUM(F30:F41)</f>
        <v>50</v>
      </c>
      <c r="G168" s="9">
        <f t="shared" si="34"/>
        <v>0.66666666666666674</v>
      </c>
      <c r="H168" s="5"/>
      <c r="I168" s="9"/>
      <c r="J168" s="5">
        <f>SUM(J30:J41)</f>
        <v>860</v>
      </c>
      <c r="K168" s="9">
        <f t="shared" ref="K168:K174" si="37">J168/J167-1</f>
        <v>6.3040791100123617E-2</v>
      </c>
      <c r="L168" s="5">
        <f>SUM(L30:L41)</f>
        <v>16798</v>
      </c>
      <c r="M168" s="9">
        <f t="shared" si="36"/>
        <v>0.1338508268646641</v>
      </c>
      <c r="N168" s="5">
        <v>5424</v>
      </c>
      <c r="O168" s="9">
        <f t="shared" si="35"/>
        <v>0.69024618261140547</v>
      </c>
      <c r="P168" s="5"/>
      <c r="Q168" s="9"/>
      <c r="R168" s="5"/>
      <c r="S168" s="9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</row>
    <row r="169" spans="1:45" s="157" customFormat="1" ht="16.5" customHeight="1">
      <c r="A169" s="130" t="s">
        <v>42</v>
      </c>
      <c r="B169" s="62" t="s">
        <v>16</v>
      </c>
      <c r="C169" s="5">
        <f>SUM(SUM(C42:C53))</f>
        <v>13324977</v>
      </c>
      <c r="D169" s="9">
        <f t="shared" si="33"/>
        <v>0.147727465548952</v>
      </c>
      <c r="E169" s="178"/>
      <c r="F169" s="100">
        <f>SUM(F42:F53)</f>
        <v>116</v>
      </c>
      <c r="G169" s="9">
        <f t="shared" si="34"/>
        <v>1.3199999999999998</v>
      </c>
      <c r="H169" s="100"/>
      <c r="I169" s="9"/>
      <c r="J169" s="100">
        <f>SUM(J42:J53)</f>
        <v>1225</v>
      </c>
      <c r="K169" s="9">
        <f t="shared" si="37"/>
        <v>0.42441860465116288</v>
      </c>
      <c r="L169" s="100">
        <f>SUM(L42:L53)</f>
        <v>20456</v>
      </c>
      <c r="M169" s="9">
        <f t="shared" si="36"/>
        <v>0.21776401952613411</v>
      </c>
      <c r="N169" s="100">
        <v>6597</v>
      </c>
      <c r="O169" s="9">
        <f t="shared" si="35"/>
        <v>0.21626106194690276</v>
      </c>
      <c r="P169" s="100"/>
      <c r="Q169" s="9"/>
      <c r="R169" s="100"/>
      <c r="S169" s="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</row>
    <row r="170" spans="1:45" s="157" customFormat="1" ht="16.5" customHeight="1">
      <c r="A170" s="130" t="s">
        <v>183</v>
      </c>
      <c r="B170" s="62" t="s">
        <v>194</v>
      </c>
      <c r="C170" s="5">
        <f>SUM(C54:C65)</f>
        <v>11996094</v>
      </c>
      <c r="D170" s="9">
        <f t="shared" si="33"/>
        <v>-9.9728727486734114E-2</v>
      </c>
      <c r="E170" s="178"/>
      <c r="F170" s="5">
        <f>SUM(F54:F65)</f>
        <v>91</v>
      </c>
      <c r="G170" s="9">
        <f t="shared" si="34"/>
        <v>-0.21551724137931039</v>
      </c>
      <c r="H170" s="5"/>
      <c r="I170" s="9"/>
      <c r="J170" s="5">
        <f>SUM(J54:J65)</f>
        <v>799</v>
      </c>
      <c r="K170" s="9">
        <f t="shared" si="37"/>
        <v>-0.34775510204081628</v>
      </c>
      <c r="L170" s="5">
        <f>SUM(L54:L65)</f>
        <v>20285</v>
      </c>
      <c r="M170" s="9">
        <f t="shared" si="36"/>
        <v>-8.3594055533828815E-3</v>
      </c>
      <c r="N170" s="5">
        <v>8209</v>
      </c>
      <c r="O170" s="9">
        <f t="shared" si="35"/>
        <v>0.24435349401242989</v>
      </c>
      <c r="P170" s="5"/>
      <c r="Q170" s="9"/>
      <c r="R170" s="5"/>
      <c r="S170" s="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</row>
    <row r="171" spans="1:45" s="157" customFormat="1" ht="16.5" customHeight="1">
      <c r="A171" s="130" t="s">
        <v>184</v>
      </c>
      <c r="B171" s="62" t="s">
        <v>194</v>
      </c>
      <c r="C171" s="5">
        <f>SUM(C66:C77)</f>
        <v>9494111</v>
      </c>
      <c r="D171" s="9">
        <f t="shared" si="33"/>
        <v>-0.20856647171987819</v>
      </c>
      <c r="E171" s="178"/>
      <c r="F171" s="5">
        <f>SUM(F66:F77)</f>
        <v>84</v>
      </c>
      <c r="G171" s="9">
        <f t="shared" si="34"/>
        <v>-7.6923076923076872E-2</v>
      </c>
      <c r="H171" s="5"/>
      <c r="I171" s="9"/>
      <c r="J171" s="5">
        <f>SUM(J66:J77)</f>
        <v>1131</v>
      </c>
      <c r="K171" s="9">
        <f t="shared" si="37"/>
        <v>0.41551939924906134</v>
      </c>
      <c r="L171" s="5">
        <f>SUM(L66:L77)</f>
        <v>14406</v>
      </c>
      <c r="M171" s="9">
        <f t="shared" si="36"/>
        <v>-0.28982006408676364</v>
      </c>
      <c r="N171" s="5">
        <v>13043</v>
      </c>
      <c r="O171" s="9">
        <f t="shared" si="35"/>
        <v>0.58886587891338782</v>
      </c>
      <c r="P171" s="5"/>
      <c r="Q171" s="9"/>
      <c r="R171" s="5"/>
      <c r="S171" s="9"/>
      <c r="T171" s="296"/>
      <c r="U171" s="296"/>
      <c r="V171" s="296"/>
      <c r="W171" s="296"/>
      <c r="X171" s="296"/>
      <c r="Y171" s="296"/>
      <c r="Z171" s="296"/>
      <c r="AA171" s="296"/>
      <c r="AB171" s="296"/>
      <c r="AC171" s="296"/>
      <c r="AD171" s="296"/>
      <c r="AE171" s="296"/>
    </row>
    <row r="172" spans="1:45" s="157" customFormat="1" ht="16.5" customHeight="1">
      <c r="A172" s="130" t="s">
        <v>185</v>
      </c>
      <c r="B172" s="62" t="s">
        <v>194</v>
      </c>
      <c r="C172" s="5">
        <f>SUM(C78:C89)</f>
        <v>12488364</v>
      </c>
      <c r="D172" s="9">
        <f t="shared" si="33"/>
        <v>0.31538002873570781</v>
      </c>
      <c r="E172" s="178"/>
      <c r="F172" s="5">
        <f>SUM(F78:F89)</f>
        <v>214</v>
      </c>
      <c r="G172" s="9">
        <f t="shared" si="34"/>
        <v>1.5476190476190474</v>
      </c>
      <c r="H172" s="5"/>
      <c r="I172" s="9"/>
      <c r="J172" s="5">
        <f>SUM(J78:J89)</f>
        <v>1136</v>
      </c>
      <c r="K172" s="9">
        <f t="shared" si="37"/>
        <v>4.4208664898319761E-3</v>
      </c>
      <c r="L172" s="5">
        <f>SUM(L78:L89)</f>
        <v>17519</v>
      </c>
      <c r="M172" s="9">
        <f t="shared" si="36"/>
        <v>0.21609051783978894</v>
      </c>
      <c r="N172" s="5">
        <v>6449</v>
      </c>
      <c r="O172" s="9">
        <f t="shared" si="35"/>
        <v>-0.50555853714636201</v>
      </c>
      <c r="P172" s="5"/>
      <c r="Q172" s="9"/>
      <c r="R172" s="5"/>
      <c r="S172" s="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</row>
    <row r="173" spans="1:45" s="158" customFormat="1" ht="16.5" customHeight="1">
      <c r="A173" s="131" t="s">
        <v>187</v>
      </c>
      <c r="B173" s="73" t="s">
        <v>194</v>
      </c>
      <c r="C173" s="68">
        <v>12693733</v>
      </c>
      <c r="D173" s="9">
        <f t="shared" si="33"/>
        <v>1.6444828161639169E-2</v>
      </c>
      <c r="E173" s="178"/>
      <c r="F173" s="68">
        <f>SUM(F90:F101)</f>
        <v>472</v>
      </c>
      <c r="G173" s="9">
        <f t="shared" si="34"/>
        <v>1.2056074766355138</v>
      </c>
      <c r="H173" s="68"/>
      <c r="I173" s="122"/>
      <c r="J173" s="68">
        <f>SUM(J90:J101)</f>
        <v>1254</v>
      </c>
      <c r="K173" s="9">
        <f t="shared" si="37"/>
        <v>0.10387323943661975</v>
      </c>
      <c r="L173" s="68">
        <f>SUM(L90:L101)</f>
        <v>18290</v>
      </c>
      <c r="M173" s="9">
        <f t="shared" si="36"/>
        <v>4.4009361264912394E-2</v>
      </c>
      <c r="N173" s="68">
        <v>12258</v>
      </c>
      <c r="O173" s="9">
        <f t="shared" si="35"/>
        <v>0.90075980772212749</v>
      </c>
      <c r="P173" s="68">
        <f>SUM(P90:P101)</f>
        <v>1658</v>
      </c>
      <c r="Q173" s="122"/>
      <c r="R173" s="68"/>
      <c r="S173" s="122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</row>
    <row r="174" spans="1:45" ht="16.5" customHeight="1">
      <c r="A174" s="130" t="s">
        <v>188</v>
      </c>
      <c r="B174" s="62" t="s">
        <v>194</v>
      </c>
      <c r="C174" s="5">
        <f>SUM(C102:C113)</f>
        <v>13736976</v>
      </c>
      <c r="D174" s="9">
        <f t="shared" si="33"/>
        <v>8.2185673828179651E-2</v>
      </c>
      <c r="E174" s="178"/>
      <c r="F174" s="5">
        <f>SUM(F102:F113)</f>
        <v>748</v>
      </c>
      <c r="G174" s="9">
        <f t="shared" si="34"/>
        <v>0.5847457627118644</v>
      </c>
      <c r="H174" s="5">
        <f>SUM(H102:H113)</f>
        <v>2651</v>
      </c>
      <c r="I174" s="9"/>
      <c r="J174" s="5">
        <f>SUM(J102:J113)</f>
        <v>986</v>
      </c>
      <c r="K174" s="9">
        <f t="shared" si="37"/>
        <v>-0.21371610845295053</v>
      </c>
      <c r="L174" s="5">
        <f>SUM(L102:L113)</f>
        <v>19817</v>
      </c>
      <c r="M174" s="9">
        <f>L174/L173-1</f>
        <v>8.348824494259155E-2</v>
      </c>
      <c r="N174" s="5">
        <v>7796</v>
      </c>
      <c r="O174" s="9">
        <f>N174/N173-1</f>
        <v>-0.36400717898515256</v>
      </c>
      <c r="P174" s="5"/>
      <c r="Q174" s="9"/>
      <c r="R174" s="5">
        <f>SUM(R102:R113)</f>
        <v>302</v>
      </c>
      <c r="S174" s="9"/>
    </row>
    <row r="175" spans="1:45" ht="16.5" customHeight="1" thickBot="1">
      <c r="A175" s="130" t="s">
        <v>189</v>
      </c>
      <c r="B175" s="62" t="s">
        <v>194</v>
      </c>
      <c r="C175" s="5">
        <f>SUM(C114:C125)</f>
        <v>14846485</v>
      </c>
      <c r="D175" s="9">
        <f>C175/SUM(C102:C113)-1</f>
        <v>8.0768067149567635E-2</v>
      </c>
      <c r="E175" s="178"/>
      <c r="F175" s="5">
        <f>SUM(F114:F125)</f>
        <v>916</v>
      </c>
      <c r="G175" s="9">
        <f>F175/SUM(F102:F113)-1</f>
        <v>0.22459893048128343</v>
      </c>
      <c r="H175" s="5">
        <f>SUM(H114:H125)</f>
        <v>2778</v>
      </c>
      <c r="I175" s="9">
        <f>H175/SUM(H102:H113)-1</f>
        <v>4.7906450396076883E-2</v>
      </c>
      <c r="J175" s="5">
        <f>SUM(J114:J125)</f>
        <v>1614</v>
      </c>
      <c r="K175" s="9">
        <f>J175/SUM(J102:J113)-1</f>
        <v>0.63691683569979718</v>
      </c>
      <c r="L175" s="5">
        <f>SUM(L114:L125)</f>
        <v>16879</v>
      </c>
      <c r="M175" s="9">
        <f>L175/SUM(L102:L113)-1</f>
        <v>-0.14825654740879046</v>
      </c>
      <c r="N175" s="5">
        <f>SUM(N114:N125)</f>
        <v>8463</v>
      </c>
      <c r="O175" s="9">
        <f>N175/SUM(N102)-1</f>
        <v>4.0106571936056836</v>
      </c>
      <c r="P175" s="5"/>
      <c r="Q175" s="9"/>
      <c r="R175" s="5">
        <f>SUM(R114:R125)</f>
        <v>115</v>
      </c>
      <c r="S175" s="9">
        <f>R175/SUM(R102:R113)-1</f>
        <v>-0.61920529801324498</v>
      </c>
    </row>
    <row r="176" spans="1:45" s="296" customFormat="1" ht="16.5" customHeight="1" thickBot="1">
      <c r="A176" s="104" t="s">
        <v>195</v>
      </c>
      <c r="B176" s="105" t="s">
        <v>194</v>
      </c>
      <c r="C176" s="123">
        <f>SUM(C126:C137)</f>
        <v>16080684</v>
      </c>
      <c r="D176" s="124">
        <f>C176/SUM(C114:C125)-1</f>
        <v>8.3130720840656869E-2</v>
      </c>
      <c r="E176" s="295"/>
      <c r="F176" s="123">
        <f>SUM(F126:F137)</f>
        <v>1074</v>
      </c>
      <c r="G176" s="124">
        <f>F176/SUM(F114:F125)-1</f>
        <v>0.17248908296943233</v>
      </c>
      <c r="H176" s="123">
        <f>SUM(H126:H137)</f>
        <v>3182</v>
      </c>
      <c r="I176" s="124">
        <f>H176/SUM(H114:H125)-1</f>
        <v>0.14542836573074158</v>
      </c>
      <c r="J176" s="123">
        <f>SUM(J126:J137)</f>
        <v>2124</v>
      </c>
      <c r="K176" s="124">
        <f>J176/SUM(J114:J125)-1</f>
        <v>0.31598513011152418</v>
      </c>
      <c r="L176" s="123">
        <f>SUM(L126:L137)</f>
        <v>12846</v>
      </c>
      <c r="M176" s="124">
        <f>L176/SUM(L114:L125)-1</f>
        <v>-0.23893595592155936</v>
      </c>
      <c r="N176" s="123">
        <f>SUM(N126:N137)</f>
        <v>5273</v>
      </c>
      <c r="O176" s="124"/>
      <c r="P176" s="123">
        <f>SUM(P126:P137)</f>
        <v>0</v>
      </c>
      <c r="Q176" s="124"/>
      <c r="R176" s="123">
        <f>SUM(R126:R137)</f>
        <v>0</v>
      </c>
      <c r="S176" s="124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</row>
    <row r="177" spans="1:19" ht="16.5" customHeight="1" thickBot="1">
      <c r="A177" s="104" t="s">
        <v>196</v>
      </c>
      <c r="B177" s="105" t="s">
        <v>194</v>
      </c>
      <c r="C177" s="123">
        <f>SUM(C138:C149)</f>
        <v>19310430</v>
      </c>
      <c r="D177" s="124">
        <f>C177/SUM(C126:C136)-1</f>
        <v>0.31811745891998555</v>
      </c>
      <c r="E177" s="178"/>
      <c r="F177" s="123">
        <f>SUM(F138:F149)</f>
        <v>1371</v>
      </c>
      <c r="G177" s="124">
        <f>F177/SUM(F126:F137)-1</f>
        <v>0.27653631284916202</v>
      </c>
      <c r="H177" s="123">
        <f>SUM(H138:H149)</f>
        <v>3494</v>
      </c>
      <c r="I177" s="124">
        <f>H177/SUM(H126:H137)-1</f>
        <v>9.8051539912004992E-2</v>
      </c>
      <c r="J177" s="123">
        <f>SUM(J138:J149)</f>
        <v>2315</v>
      </c>
      <c r="K177" s="124">
        <f>J177/SUM(J176)-1</f>
        <v>8.9924670433145115E-2</v>
      </c>
      <c r="L177" s="123">
        <f>SUM(L138:L149)</f>
        <v>13561</v>
      </c>
      <c r="M177" s="124">
        <f>L177/L176-1</f>
        <v>5.5659349213763143E-2</v>
      </c>
      <c r="N177" s="123">
        <f>SUM(N138:N149)</f>
        <v>5322</v>
      </c>
      <c r="O177" s="124"/>
      <c r="P177" s="123">
        <f>SUM(P138:P149)</f>
        <v>0</v>
      </c>
      <c r="Q177" s="124"/>
      <c r="R177" s="123">
        <f>SUM(R138:R149)</f>
        <v>0</v>
      </c>
      <c r="S177" s="124"/>
    </row>
    <row r="178" spans="1:19" ht="16.5" customHeight="1" thickBot="1">
      <c r="A178" s="104" t="s">
        <v>219</v>
      </c>
      <c r="B178" s="105" t="s">
        <v>222</v>
      </c>
      <c r="C178" s="123">
        <f>SUM(C150:C161)</f>
        <v>22383190</v>
      </c>
      <c r="D178" s="124">
        <f>C178/SUM(C138:C149)-1</f>
        <v>0.15912436957644127</v>
      </c>
      <c r="E178" s="178"/>
      <c r="F178" s="123">
        <f>IFERROR(SUM(F150:F161),"-")</f>
        <v>1658</v>
      </c>
      <c r="G178" s="124">
        <f>IFERROR(F178/SUM(F138:F149)-1,"-")</f>
        <v>0.20933625091174335</v>
      </c>
      <c r="H178" s="123">
        <f>IFERROR(SUM(H150:H161),"-")</f>
        <v>6025</v>
      </c>
      <c r="I178" s="124">
        <f>IFERROR(H178/SUM(H138:H149)-1,"-")</f>
        <v>0.72438465941614205</v>
      </c>
      <c r="J178" s="123">
        <f>IFERROR(SUM(J150:J161),"-")</f>
        <v>2107</v>
      </c>
      <c r="K178" s="124">
        <f>IFERROR(J178/SUM(J138:J148)-1,"-")</f>
        <v>0</v>
      </c>
      <c r="L178" s="123">
        <f>IFERROR(SUM(L150:L161),"-")</f>
        <v>15502</v>
      </c>
      <c r="M178" s="124">
        <f>IFERROR(L178/SUM(L138:L147)-1,"-")</f>
        <v>0.41286912139992715</v>
      </c>
      <c r="N178" s="123"/>
      <c r="O178" s="124"/>
      <c r="P178" s="123"/>
      <c r="Q178" s="124"/>
      <c r="R178" s="123"/>
      <c r="S178" s="124"/>
    </row>
  </sheetData>
  <mergeCells count="42">
    <mergeCell ref="O102:O104"/>
    <mergeCell ref="A66:A77"/>
    <mergeCell ref="A54:A65"/>
    <mergeCell ref="A42:A53"/>
    <mergeCell ref="A138:A149"/>
    <mergeCell ref="A126:A137"/>
    <mergeCell ref="O114:O125"/>
    <mergeCell ref="N126:N137"/>
    <mergeCell ref="O126:O137"/>
    <mergeCell ref="A114:A125"/>
    <mergeCell ref="N114:N125"/>
    <mergeCell ref="O138:O149"/>
    <mergeCell ref="A18:A29"/>
    <mergeCell ref="N102:N104"/>
    <mergeCell ref="A90:A101"/>
    <mergeCell ref="A150:A161"/>
    <mergeCell ref="A6:A17"/>
    <mergeCell ref="H96:H98"/>
    <mergeCell ref="H99:H101"/>
    <mergeCell ref="A102:A113"/>
    <mergeCell ref="A78:A89"/>
    <mergeCell ref="H90:H92"/>
    <mergeCell ref="H93:H95"/>
    <mergeCell ref="A30:A41"/>
    <mergeCell ref="N138:N149"/>
    <mergeCell ref="A2:B5"/>
    <mergeCell ref="H3:I3"/>
    <mergeCell ref="A1:B1"/>
    <mergeCell ref="F2:G2"/>
    <mergeCell ref="C1:K1"/>
    <mergeCell ref="C2:D2"/>
    <mergeCell ref="R3:S3"/>
    <mergeCell ref="C3:D3"/>
    <mergeCell ref="L3:M3"/>
    <mergeCell ref="J3:K3"/>
    <mergeCell ref="F3:G3"/>
    <mergeCell ref="N3:O3"/>
    <mergeCell ref="P99:P101"/>
    <mergeCell ref="P3:Q3"/>
    <mergeCell ref="P90:P92"/>
    <mergeCell ref="P93:P95"/>
    <mergeCell ref="P96:P98"/>
  </mergeCells>
  <phoneticPr fontId="2" type="noConversion"/>
  <pageMargins left="0.15748031496062992" right="0.15748031496062992" top="0.39370078740157483" bottom="0" header="0.11811023622047245" footer="0"/>
  <pageSetup paperSize="9" scale="58" orientation="landscape" r:id="rId1"/>
  <headerFooter alignWithMargins="0"/>
  <ignoredErrors>
    <ignoredError sqref="C167:D175 F169:G173 F174:F175 H174:I174 J174 J167:K167 J168:J173 R174:S176 C176:D176 F176" formulaRange="1"/>
    <ignoredError sqref="G174:G176 H175:J175 K168:K173 K174 L166:L174 L175 K175 H176:J176 L176" formula="1" formulaRange="1"/>
    <ignoredError sqref="M166:M17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C219"/>
  <sheetViews>
    <sheetView zoomScaleNormal="100" zoomScaleSheetLayoutView="40" workbookViewId="0">
      <pane xSplit="2" ySplit="5" topLeftCell="C148" activePane="bottomRight" state="frozen"/>
      <selection pane="topRight" activeCell="C1" sqref="C1"/>
      <selection pane="bottomLeft" activeCell="A6" sqref="A6"/>
      <selection pane="bottomRight" activeCell="C178" sqref="C178"/>
    </sheetView>
  </sheetViews>
  <sheetFormatPr defaultRowHeight="16.5"/>
  <cols>
    <col min="1" max="1" width="6.5546875" style="151" bestFit="1" customWidth="1"/>
    <col min="2" max="2" width="4.88671875" style="151" bestFit="1" customWidth="1"/>
    <col min="3" max="3" width="9.5546875" style="151" bestFit="1" customWidth="1"/>
    <col min="4" max="4" width="7.77734375" style="151" bestFit="1" customWidth="1"/>
    <col min="5" max="5" width="2.5546875" style="151" customWidth="1"/>
    <col min="6" max="6" width="8.33203125" style="151" bestFit="1" customWidth="1"/>
    <col min="7" max="7" width="10" style="151" bestFit="1" customWidth="1"/>
    <col min="8" max="15" width="8.33203125" style="151" bestFit="1" customWidth="1"/>
    <col min="16" max="16" width="8.44140625" style="151" customWidth="1"/>
    <col min="17" max="17" width="7.5546875" style="151" customWidth="1"/>
    <col min="18" max="18" width="8.33203125" style="151" bestFit="1" customWidth="1"/>
    <col min="19" max="19" width="10.5546875" style="151" customWidth="1"/>
    <col min="20" max="21" width="8.33203125" style="151" bestFit="1" customWidth="1"/>
    <col min="22" max="25" width="9" style="151" customWidth="1"/>
    <col min="26" max="26" width="7.88671875" style="151" customWidth="1"/>
    <col min="27" max="27" width="8.33203125" style="151" bestFit="1" customWidth="1"/>
    <col min="28" max="29" width="9.109375" style="151" customWidth="1"/>
    <col min="30" max="30" width="8.33203125" style="151" bestFit="1" customWidth="1"/>
    <col min="31" max="31" width="9.44140625" style="151" bestFit="1" customWidth="1"/>
    <col min="32" max="32" width="8.33203125" style="151" customWidth="1"/>
    <col min="33" max="33" width="8.33203125" style="151" bestFit="1" customWidth="1"/>
    <col min="34" max="16384" width="8.88671875" style="151"/>
  </cols>
  <sheetData>
    <row r="1" spans="1:33" s="152" customFormat="1" ht="32.25" thickBot="1">
      <c r="A1" s="460"/>
      <c r="B1" s="460"/>
      <c r="C1" s="434" t="s">
        <v>230</v>
      </c>
      <c r="D1" s="434"/>
      <c r="E1" s="434"/>
      <c r="F1" s="434"/>
      <c r="G1" s="434"/>
      <c r="H1" s="434"/>
      <c r="I1" s="434"/>
      <c r="J1" s="434"/>
      <c r="K1" s="434"/>
      <c r="L1" s="155"/>
      <c r="M1" s="155"/>
      <c r="N1" s="155"/>
      <c r="O1" s="155"/>
      <c r="P1" s="155"/>
      <c r="Q1" s="155"/>
      <c r="R1" s="155"/>
      <c r="S1" s="155"/>
      <c r="X1" s="155"/>
      <c r="Y1" s="155"/>
      <c r="AD1" s="155"/>
      <c r="AE1" s="155"/>
      <c r="AF1" s="155"/>
      <c r="AG1" s="156"/>
    </row>
    <row r="2" spans="1:33" s="152" customFormat="1" ht="24.75" thickBot="1">
      <c r="A2" s="467"/>
      <c r="B2" s="468"/>
      <c r="C2" s="463" t="s">
        <v>0</v>
      </c>
      <c r="D2" s="464"/>
      <c r="E2" s="178"/>
      <c r="F2" s="493" t="s">
        <v>208</v>
      </c>
      <c r="G2" s="494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8"/>
    </row>
    <row r="3" spans="1:33" s="152" customFormat="1" ht="17.25">
      <c r="A3" s="469"/>
      <c r="B3" s="470"/>
      <c r="C3" s="441" t="s">
        <v>101</v>
      </c>
      <c r="D3" s="442"/>
      <c r="E3" s="178"/>
      <c r="F3" s="441" t="s">
        <v>7</v>
      </c>
      <c r="G3" s="442"/>
      <c r="H3" s="441" t="s">
        <v>68</v>
      </c>
      <c r="I3" s="442"/>
      <c r="J3" s="441" t="s">
        <v>98</v>
      </c>
      <c r="K3" s="442"/>
      <c r="L3" s="441" t="s">
        <v>69</v>
      </c>
      <c r="M3" s="442"/>
      <c r="N3" s="441" t="s">
        <v>77</v>
      </c>
      <c r="O3" s="442"/>
      <c r="P3" s="441" t="s">
        <v>71</v>
      </c>
      <c r="Q3" s="442"/>
      <c r="R3" s="441" t="s">
        <v>73</v>
      </c>
      <c r="S3" s="442"/>
      <c r="T3" s="441" t="s">
        <v>90</v>
      </c>
      <c r="U3" s="442"/>
      <c r="V3" s="441" t="s">
        <v>92</v>
      </c>
      <c r="W3" s="442"/>
      <c r="X3" s="441" t="s">
        <v>75</v>
      </c>
      <c r="Y3" s="442"/>
      <c r="Z3" s="441" t="s">
        <v>76</v>
      </c>
      <c r="AA3" s="442"/>
      <c r="AB3" s="441" t="s">
        <v>89</v>
      </c>
      <c r="AC3" s="442"/>
      <c r="AD3" s="441" t="s">
        <v>70</v>
      </c>
      <c r="AE3" s="442"/>
      <c r="AF3" s="441" t="s">
        <v>74</v>
      </c>
      <c r="AG3" s="442"/>
    </row>
    <row r="4" spans="1:33" s="152" customFormat="1" ht="13.5">
      <c r="A4" s="469"/>
      <c r="B4" s="470"/>
      <c r="C4" s="109" t="s">
        <v>8</v>
      </c>
      <c r="D4" s="110" t="s">
        <v>9</v>
      </c>
      <c r="E4" s="178"/>
      <c r="F4" s="109" t="s">
        <v>50</v>
      </c>
      <c r="G4" s="215" t="s">
        <v>11</v>
      </c>
      <c r="H4" s="109" t="s">
        <v>50</v>
      </c>
      <c r="I4" s="110" t="s">
        <v>64</v>
      </c>
      <c r="J4" s="109" t="s">
        <v>50</v>
      </c>
      <c r="K4" s="110" t="s">
        <v>64</v>
      </c>
      <c r="L4" s="109" t="s">
        <v>50</v>
      </c>
      <c r="M4" s="110" t="s">
        <v>64</v>
      </c>
      <c r="N4" s="109" t="s">
        <v>50</v>
      </c>
      <c r="O4" s="110" t="s">
        <v>64</v>
      </c>
      <c r="P4" s="109" t="s">
        <v>50</v>
      </c>
      <c r="Q4" s="110" t="s">
        <v>64</v>
      </c>
      <c r="R4" s="109" t="s">
        <v>50</v>
      </c>
      <c r="S4" s="110" t="s">
        <v>64</v>
      </c>
      <c r="T4" s="109" t="s">
        <v>50</v>
      </c>
      <c r="U4" s="110" t="s">
        <v>64</v>
      </c>
      <c r="V4" s="109" t="s">
        <v>50</v>
      </c>
      <c r="W4" s="110" t="s">
        <v>64</v>
      </c>
      <c r="X4" s="109" t="s">
        <v>50</v>
      </c>
      <c r="Y4" s="110" t="s">
        <v>64</v>
      </c>
      <c r="Z4" s="109" t="s">
        <v>50</v>
      </c>
      <c r="AA4" s="110" t="s">
        <v>64</v>
      </c>
      <c r="AB4" s="109" t="s">
        <v>50</v>
      </c>
      <c r="AC4" s="110" t="s">
        <v>64</v>
      </c>
      <c r="AD4" s="106" t="s">
        <v>66</v>
      </c>
      <c r="AE4" s="107" t="s">
        <v>41</v>
      </c>
      <c r="AF4" s="109" t="s">
        <v>50</v>
      </c>
      <c r="AG4" s="110" t="s">
        <v>64</v>
      </c>
    </row>
    <row r="5" spans="1:33" s="152" customFormat="1" ht="14.25" thickBot="1">
      <c r="A5" s="471"/>
      <c r="B5" s="472"/>
      <c r="C5" s="109" t="s">
        <v>14</v>
      </c>
      <c r="D5" s="213" t="s">
        <v>15</v>
      </c>
      <c r="E5" s="178"/>
      <c r="F5" s="106" t="s">
        <v>49</v>
      </c>
      <c r="G5" s="216" t="s">
        <v>15</v>
      </c>
      <c r="H5" s="301" t="s">
        <v>14</v>
      </c>
      <c r="I5" s="150" t="s">
        <v>15</v>
      </c>
      <c r="J5" s="301" t="s">
        <v>14</v>
      </c>
      <c r="K5" s="150" t="s">
        <v>15</v>
      </c>
      <c r="L5" s="106" t="s">
        <v>49</v>
      </c>
      <c r="M5" s="107" t="s">
        <v>61</v>
      </c>
      <c r="N5" s="301" t="s">
        <v>49</v>
      </c>
      <c r="O5" s="107" t="s">
        <v>61</v>
      </c>
      <c r="P5" s="106" t="s">
        <v>49</v>
      </c>
      <c r="Q5" s="107" t="s">
        <v>61</v>
      </c>
      <c r="R5" s="106" t="s">
        <v>49</v>
      </c>
      <c r="S5" s="107" t="s">
        <v>61</v>
      </c>
      <c r="T5" s="301" t="s">
        <v>49</v>
      </c>
      <c r="U5" s="107" t="s">
        <v>61</v>
      </c>
      <c r="V5" s="106" t="s">
        <v>49</v>
      </c>
      <c r="W5" s="107" t="s">
        <v>61</v>
      </c>
      <c r="X5" s="106" t="s">
        <v>49</v>
      </c>
      <c r="Y5" s="107" t="s">
        <v>61</v>
      </c>
      <c r="Z5" s="106" t="s">
        <v>49</v>
      </c>
      <c r="AA5" s="107" t="s">
        <v>61</v>
      </c>
      <c r="AB5" s="106" t="s">
        <v>49</v>
      </c>
      <c r="AC5" s="107" t="s">
        <v>61</v>
      </c>
      <c r="AD5" s="148" t="s">
        <v>14</v>
      </c>
      <c r="AE5" s="107" t="s">
        <v>61</v>
      </c>
      <c r="AF5" s="106" t="s">
        <v>49</v>
      </c>
      <c r="AG5" s="107" t="s">
        <v>61</v>
      </c>
    </row>
    <row r="6" spans="1:33" s="152" customFormat="1" ht="13.5" hidden="1" customHeight="1">
      <c r="A6" s="461" t="s">
        <v>34</v>
      </c>
      <c r="B6" s="15" t="s">
        <v>35</v>
      </c>
      <c r="C6" s="3">
        <v>793478</v>
      </c>
      <c r="D6" s="4"/>
      <c r="E6" s="178"/>
      <c r="F6" s="3">
        <v>7414</v>
      </c>
      <c r="G6" s="132"/>
      <c r="H6" s="499">
        <v>18000</v>
      </c>
      <c r="I6" s="497">
        <v>0.125</v>
      </c>
      <c r="J6" s="440"/>
      <c r="K6" s="497"/>
      <c r="L6" s="3"/>
      <c r="M6" s="9"/>
      <c r="N6" s="3"/>
      <c r="O6" s="9"/>
      <c r="P6" s="3"/>
      <c r="Q6" s="9"/>
      <c r="R6" s="3"/>
      <c r="S6" s="9"/>
      <c r="T6" s="3">
        <v>1518</v>
      </c>
      <c r="U6" s="9"/>
      <c r="V6" s="3">
        <v>397</v>
      </c>
      <c r="W6" s="9"/>
      <c r="X6" s="3">
        <v>579</v>
      </c>
      <c r="Y6" s="9"/>
      <c r="Z6" s="3"/>
      <c r="AA6" s="9"/>
      <c r="AB6" s="3">
        <v>5</v>
      </c>
      <c r="AC6" s="9"/>
      <c r="AD6" s="11"/>
      <c r="AE6" s="6"/>
      <c r="AF6" s="3"/>
      <c r="AG6" s="9"/>
    </row>
    <row r="7" spans="1:33" s="152" customFormat="1" ht="13.5" hidden="1" customHeight="1">
      <c r="A7" s="461"/>
      <c r="B7" s="15" t="s">
        <v>36</v>
      </c>
      <c r="C7" s="3">
        <v>670447</v>
      </c>
      <c r="D7" s="4"/>
      <c r="E7" s="178"/>
      <c r="F7" s="3">
        <v>7506</v>
      </c>
      <c r="G7" s="132"/>
      <c r="H7" s="500"/>
      <c r="I7" s="495"/>
      <c r="J7" s="426"/>
      <c r="K7" s="495"/>
      <c r="L7" s="3"/>
      <c r="M7" s="9"/>
      <c r="N7" s="3"/>
      <c r="O7" s="9"/>
      <c r="P7" s="3"/>
      <c r="Q7" s="9"/>
      <c r="R7" s="3"/>
      <c r="S7" s="9"/>
      <c r="T7" s="3">
        <v>1511</v>
      </c>
      <c r="U7" s="9"/>
      <c r="V7" s="3">
        <v>448</v>
      </c>
      <c r="W7" s="9"/>
      <c r="X7" s="3">
        <v>1438</v>
      </c>
      <c r="Y7" s="9"/>
      <c r="Z7" s="3"/>
      <c r="AA7" s="9"/>
      <c r="AB7" s="3">
        <v>8</v>
      </c>
      <c r="AC7" s="9"/>
      <c r="AD7" s="11"/>
      <c r="AE7" s="6"/>
      <c r="AF7" s="3"/>
      <c r="AG7" s="9"/>
    </row>
    <row r="8" spans="1:33" s="152" customFormat="1" ht="13.5" hidden="1" customHeight="1">
      <c r="A8" s="461"/>
      <c r="B8" s="15" t="s">
        <v>21</v>
      </c>
      <c r="C8" s="3">
        <v>587629</v>
      </c>
      <c r="D8" s="4"/>
      <c r="E8" s="178"/>
      <c r="F8" s="3">
        <v>8974</v>
      </c>
      <c r="G8" s="132"/>
      <c r="H8" s="500"/>
      <c r="I8" s="495"/>
      <c r="J8" s="426"/>
      <c r="K8" s="495"/>
      <c r="L8" s="3"/>
      <c r="M8" s="9"/>
      <c r="N8" s="3"/>
      <c r="O8" s="9"/>
      <c r="P8" s="3"/>
      <c r="Q8" s="9"/>
      <c r="R8" s="3"/>
      <c r="S8" s="9"/>
      <c r="T8" s="3">
        <v>1783</v>
      </c>
      <c r="U8" s="9"/>
      <c r="V8" s="3">
        <v>613</v>
      </c>
      <c r="W8" s="9"/>
      <c r="X8" s="3">
        <v>885</v>
      </c>
      <c r="Y8" s="9"/>
      <c r="Z8" s="3"/>
      <c r="AA8" s="9"/>
      <c r="AB8" s="3">
        <v>21</v>
      </c>
      <c r="AC8" s="9"/>
      <c r="AD8" s="11"/>
      <c r="AE8" s="6"/>
      <c r="AF8" s="3"/>
      <c r="AG8" s="9"/>
    </row>
    <row r="9" spans="1:33" s="152" customFormat="1" ht="13.5" hidden="1" customHeight="1">
      <c r="A9" s="461"/>
      <c r="B9" s="15" t="s">
        <v>22</v>
      </c>
      <c r="C9" s="3">
        <v>642413</v>
      </c>
      <c r="D9" s="4"/>
      <c r="E9" s="178"/>
      <c r="F9" s="3">
        <v>8172</v>
      </c>
      <c r="G9" s="132"/>
      <c r="H9" s="484">
        <v>27000</v>
      </c>
      <c r="I9" s="495">
        <v>0.17399999999999999</v>
      </c>
      <c r="J9" s="426"/>
      <c r="K9" s="495"/>
      <c r="L9" s="3"/>
      <c r="M9" s="9"/>
      <c r="N9" s="3"/>
      <c r="O9" s="9"/>
      <c r="P9" s="3"/>
      <c r="Q9" s="9"/>
      <c r="R9" s="3"/>
      <c r="S9" s="9"/>
      <c r="T9" s="3">
        <v>3006</v>
      </c>
      <c r="U9" s="9"/>
      <c r="V9" s="3">
        <v>484</v>
      </c>
      <c r="W9" s="9"/>
      <c r="X9" s="3">
        <v>818</v>
      </c>
      <c r="Y9" s="9"/>
      <c r="Z9" s="3"/>
      <c r="AA9" s="9"/>
      <c r="AB9" s="3">
        <v>4</v>
      </c>
      <c r="AC9" s="9"/>
      <c r="AD9" s="11"/>
      <c r="AE9" s="6"/>
      <c r="AF9" s="3"/>
      <c r="AG9" s="9"/>
    </row>
    <row r="10" spans="1:33" s="152" customFormat="1" ht="13.5" hidden="1" customHeight="1">
      <c r="A10" s="461"/>
      <c r="B10" s="15" t="s">
        <v>23</v>
      </c>
      <c r="C10" s="3">
        <v>680185</v>
      </c>
      <c r="D10" s="4"/>
      <c r="E10" s="178"/>
      <c r="F10" s="3">
        <v>11376</v>
      </c>
      <c r="G10" s="132"/>
      <c r="H10" s="484"/>
      <c r="I10" s="495"/>
      <c r="J10" s="426"/>
      <c r="K10" s="495"/>
      <c r="L10" s="3"/>
      <c r="M10" s="9"/>
      <c r="N10" s="3"/>
      <c r="O10" s="9"/>
      <c r="P10" s="3"/>
      <c r="Q10" s="9"/>
      <c r="R10" s="3"/>
      <c r="S10" s="9"/>
      <c r="T10" s="3">
        <v>4875</v>
      </c>
      <c r="U10" s="9"/>
      <c r="V10" s="3">
        <v>2061</v>
      </c>
      <c r="W10" s="9"/>
      <c r="X10" s="3">
        <v>1849</v>
      </c>
      <c r="Y10" s="9"/>
      <c r="Z10" s="3"/>
      <c r="AA10" s="9"/>
      <c r="AB10" s="3">
        <v>17</v>
      </c>
      <c r="AC10" s="9"/>
      <c r="AD10" s="11"/>
      <c r="AE10" s="6"/>
      <c r="AF10" s="3"/>
      <c r="AG10" s="9"/>
    </row>
    <row r="11" spans="1:33" s="152" customFormat="1" ht="13.5" hidden="1" customHeight="1">
      <c r="A11" s="461"/>
      <c r="B11" s="15" t="s">
        <v>24</v>
      </c>
      <c r="C11" s="3">
        <v>712260</v>
      </c>
      <c r="D11" s="4"/>
      <c r="E11" s="178"/>
      <c r="F11" s="3">
        <v>11753</v>
      </c>
      <c r="G11" s="132"/>
      <c r="H11" s="484"/>
      <c r="I11" s="495"/>
      <c r="J11" s="426"/>
      <c r="K11" s="495"/>
      <c r="L11" s="3"/>
      <c r="M11" s="9"/>
      <c r="N11" s="3"/>
      <c r="O11" s="9"/>
      <c r="P11" s="3"/>
      <c r="Q11" s="9"/>
      <c r="R11" s="3"/>
      <c r="S11" s="9"/>
      <c r="T11" s="3">
        <v>5243</v>
      </c>
      <c r="U11" s="9"/>
      <c r="V11" s="3">
        <v>3230</v>
      </c>
      <c r="W11" s="9"/>
      <c r="X11" s="3">
        <v>2348</v>
      </c>
      <c r="Y11" s="9"/>
      <c r="Z11" s="3"/>
      <c r="AA11" s="9"/>
      <c r="AB11" s="3">
        <v>12</v>
      </c>
      <c r="AC11" s="9"/>
      <c r="AD11" s="11"/>
      <c r="AE11" s="6"/>
      <c r="AF11" s="3"/>
      <c r="AG11" s="9"/>
    </row>
    <row r="12" spans="1:33" s="152" customFormat="1" ht="13.5" hidden="1" customHeight="1">
      <c r="A12" s="461"/>
      <c r="B12" s="15" t="s">
        <v>25</v>
      </c>
      <c r="C12" s="3">
        <v>897234</v>
      </c>
      <c r="D12" s="4"/>
      <c r="E12" s="178"/>
      <c r="F12" s="3">
        <v>20420</v>
      </c>
      <c r="G12" s="132"/>
      <c r="H12" s="484">
        <v>69000</v>
      </c>
      <c r="I12" s="495">
        <v>0.64300000000000002</v>
      </c>
      <c r="J12" s="426"/>
      <c r="K12" s="495"/>
      <c r="L12" s="3"/>
      <c r="M12" s="9"/>
      <c r="N12" s="3"/>
      <c r="O12" s="9"/>
      <c r="P12" s="3"/>
      <c r="Q12" s="9"/>
      <c r="R12" s="3"/>
      <c r="S12" s="9"/>
      <c r="T12" s="3">
        <v>10920</v>
      </c>
      <c r="U12" s="9"/>
      <c r="V12" s="3">
        <v>2782</v>
      </c>
      <c r="W12" s="9"/>
      <c r="X12" s="3">
        <v>1567</v>
      </c>
      <c r="Y12" s="9"/>
      <c r="Z12" s="3"/>
      <c r="AA12" s="9"/>
      <c r="AB12" s="3">
        <v>18</v>
      </c>
      <c r="AC12" s="9"/>
      <c r="AD12" s="11"/>
      <c r="AE12" s="6"/>
      <c r="AF12" s="3"/>
      <c r="AG12" s="9"/>
    </row>
    <row r="13" spans="1:33" s="152" customFormat="1" ht="13.5" hidden="1" customHeight="1">
      <c r="A13" s="461"/>
      <c r="B13" s="15" t="s">
        <v>26</v>
      </c>
      <c r="C13" s="3">
        <v>930573</v>
      </c>
      <c r="D13" s="4"/>
      <c r="E13" s="178"/>
      <c r="F13" s="3">
        <v>15216</v>
      </c>
      <c r="G13" s="132"/>
      <c r="H13" s="484"/>
      <c r="I13" s="495"/>
      <c r="J13" s="426"/>
      <c r="K13" s="495"/>
      <c r="L13" s="3"/>
      <c r="M13" s="9"/>
      <c r="N13" s="3"/>
      <c r="O13" s="9"/>
      <c r="P13" s="3"/>
      <c r="Q13" s="9"/>
      <c r="R13" s="3"/>
      <c r="S13" s="9"/>
      <c r="T13" s="3">
        <v>6574</v>
      </c>
      <c r="U13" s="9"/>
      <c r="V13" s="3">
        <v>2826</v>
      </c>
      <c r="W13" s="9"/>
      <c r="X13" s="3">
        <v>2147</v>
      </c>
      <c r="Y13" s="9"/>
      <c r="Z13" s="3"/>
      <c r="AA13" s="9"/>
      <c r="AB13" s="3">
        <v>2</v>
      </c>
      <c r="AC13" s="9"/>
      <c r="AD13" s="11"/>
      <c r="AE13" s="6"/>
      <c r="AF13" s="3"/>
      <c r="AG13" s="9"/>
    </row>
    <row r="14" spans="1:33" s="152" customFormat="1" ht="13.5" hidden="1" customHeight="1">
      <c r="A14" s="461"/>
      <c r="B14" s="15" t="s">
        <v>27</v>
      </c>
      <c r="C14" s="3">
        <v>682244</v>
      </c>
      <c r="D14" s="4"/>
      <c r="E14" s="178"/>
      <c r="F14" s="3">
        <v>11655</v>
      </c>
      <c r="G14" s="132"/>
      <c r="H14" s="484"/>
      <c r="I14" s="495"/>
      <c r="J14" s="426"/>
      <c r="K14" s="495"/>
      <c r="L14" s="3"/>
      <c r="M14" s="9"/>
      <c r="N14" s="3"/>
      <c r="O14" s="9"/>
      <c r="P14" s="3"/>
      <c r="Q14" s="9"/>
      <c r="R14" s="3"/>
      <c r="S14" s="9"/>
      <c r="T14" s="3">
        <v>4172</v>
      </c>
      <c r="U14" s="9"/>
      <c r="V14" s="3">
        <v>1113</v>
      </c>
      <c r="W14" s="9"/>
      <c r="X14" s="3">
        <v>1605</v>
      </c>
      <c r="Y14" s="9"/>
      <c r="Z14" s="3"/>
      <c r="AA14" s="9"/>
      <c r="AB14" s="3">
        <v>4</v>
      </c>
      <c r="AC14" s="9"/>
      <c r="AD14" s="11"/>
      <c r="AE14" s="6"/>
      <c r="AF14" s="3"/>
      <c r="AG14" s="9"/>
    </row>
    <row r="15" spans="1:33" s="152" customFormat="1" ht="13.5" hidden="1" customHeight="1">
      <c r="A15" s="461"/>
      <c r="B15" s="15" t="s">
        <v>28</v>
      </c>
      <c r="C15" s="3">
        <v>757538</v>
      </c>
      <c r="D15" s="4"/>
      <c r="E15" s="178"/>
      <c r="F15" s="3">
        <v>10783</v>
      </c>
      <c r="G15" s="132"/>
      <c r="H15" s="484">
        <v>25000</v>
      </c>
      <c r="I15" s="495">
        <v>-7.3999999999999996E-2</v>
      </c>
      <c r="J15" s="426"/>
      <c r="K15" s="495"/>
      <c r="L15" s="3"/>
      <c r="M15" s="9"/>
      <c r="N15" s="3"/>
      <c r="O15" s="9"/>
      <c r="P15" s="3"/>
      <c r="Q15" s="9"/>
      <c r="R15" s="3"/>
      <c r="S15" s="9"/>
      <c r="T15" s="3">
        <v>3188</v>
      </c>
      <c r="U15" s="9"/>
      <c r="V15" s="3">
        <v>717</v>
      </c>
      <c r="W15" s="9"/>
      <c r="X15" s="3">
        <v>825</v>
      </c>
      <c r="Y15" s="9"/>
      <c r="Z15" s="3"/>
      <c r="AA15" s="9"/>
      <c r="AB15" s="3">
        <v>2</v>
      </c>
      <c r="AC15" s="9"/>
      <c r="AD15" s="11"/>
      <c r="AE15" s="6"/>
      <c r="AF15" s="3"/>
      <c r="AG15" s="9"/>
    </row>
    <row r="16" spans="1:33" s="152" customFormat="1" ht="13.5" hidden="1" customHeight="1">
      <c r="A16" s="461"/>
      <c r="B16" s="15" t="s">
        <v>29</v>
      </c>
      <c r="C16" s="3">
        <v>745887</v>
      </c>
      <c r="D16" s="4"/>
      <c r="E16" s="178"/>
      <c r="F16" s="3">
        <v>7734</v>
      </c>
      <c r="G16" s="132"/>
      <c r="H16" s="484"/>
      <c r="I16" s="495"/>
      <c r="J16" s="426"/>
      <c r="K16" s="495"/>
      <c r="L16" s="3"/>
      <c r="M16" s="9"/>
      <c r="N16" s="3"/>
      <c r="O16" s="9"/>
      <c r="P16" s="3"/>
      <c r="Q16" s="9"/>
      <c r="R16" s="3"/>
      <c r="S16" s="9"/>
      <c r="T16" s="3">
        <v>1865</v>
      </c>
      <c r="U16" s="9"/>
      <c r="V16" s="3">
        <v>417</v>
      </c>
      <c r="W16" s="9"/>
      <c r="X16" s="3">
        <v>796</v>
      </c>
      <c r="Y16" s="9"/>
      <c r="Z16" s="3"/>
      <c r="AA16" s="9"/>
      <c r="AB16" s="3">
        <v>4</v>
      </c>
      <c r="AC16" s="9"/>
      <c r="AD16" s="11"/>
      <c r="AE16" s="6"/>
      <c r="AF16" s="3"/>
      <c r="AG16" s="9"/>
    </row>
    <row r="17" spans="1:33" s="152" customFormat="1" ht="13.5" hidden="1" customHeight="1">
      <c r="A17" s="462"/>
      <c r="B17" s="15" t="s">
        <v>30</v>
      </c>
      <c r="C17" s="3">
        <v>725697</v>
      </c>
      <c r="D17" s="4"/>
      <c r="E17" s="178"/>
      <c r="F17" s="18">
        <v>5555</v>
      </c>
      <c r="G17" s="133"/>
      <c r="H17" s="485"/>
      <c r="I17" s="496"/>
      <c r="J17" s="433"/>
      <c r="K17" s="496"/>
      <c r="L17" s="18"/>
      <c r="M17" s="19"/>
      <c r="N17" s="18"/>
      <c r="O17" s="19"/>
      <c r="P17" s="18"/>
      <c r="Q17" s="19"/>
      <c r="R17" s="18"/>
      <c r="S17" s="19"/>
      <c r="T17" s="18">
        <v>1526</v>
      </c>
      <c r="U17" s="19"/>
      <c r="V17" s="18">
        <v>330</v>
      </c>
      <c r="W17" s="19"/>
      <c r="X17" s="18">
        <v>519</v>
      </c>
      <c r="Y17" s="19"/>
      <c r="Z17" s="18"/>
      <c r="AA17" s="19"/>
      <c r="AB17" s="18">
        <v>0</v>
      </c>
      <c r="AC17" s="19"/>
      <c r="AD17" s="11"/>
      <c r="AE17" s="6"/>
      <c r="AF17" s="18"/>
      <c r="AG17" s="19"/>
    </row>
    <row r="18" spans="1:33" s="152" customFormat="1" ht="13.5" hidden="1" customHeight="1">
      <c r="A18" s="457" t="s">
        <v>37</v>
      </c>
      <c r="B18" s="2" t="s">
        <v>35</v>
      </c>
      <c r="C18" s="23">
        <v>897406</v>
      </c>
      <c r="D18" s="24">
        <f t="shared" ref="D18:D43" si="0">(C18-C6)/C6</f>
        <v>0.13097779648585089</v>
      </c>
      <c r="E18" s="178"/>
      <c r="F18" s="3">
        <v>9807</v>
      </c>
      <c r="G18" s="134">
        <f t="shared" ref="G18:G49" si="1">(F18-F6)/F6</f>
        <v>0.32276773671432424</v>
      </c>
      <c r="H18" s="484">
        <v>25000</v>
      </c>
      <c r="I18" s="481">
        <f>(H18-H6)/H6</f>
        <v>0.3888888888888889</v>
      </c>
      <c r="J18" s="440">
        <v>111221</v>
      </c>
      <c r="K18" s="481"/>
      <c r="L18" s="3"/>
      <c r="M18" s="9"/>
      <c r="N18" s="3"/>
      <c r="O18" s="24"/>
      <c r="P18" s="3"/>
      <c r="Q18" s="9"/>
      <c r="R18" s="3"/>
      <c r="S18" s="9"/>
      <c r="T18" s="3">
        <v>2632</v>
      </c>
      <c r="U18" s="24">
        <f t="shared" ref="U18:U49" si="2">(T18-T6)/T6</f>
        <v>0.73386034255599475</v>
      </c>
      <c r="V18" s="3">
        <v>374</v>
      </c>
      <c r="W18" s="24">
        <f t="shared" ref="W18:W81" si="3">(V18-V6)/V6</f>
        <v>-5.793450881612091E-2</v>
      </c>
      <c r="X18" s="3">
        <v>892</v>
      </c>
      <c r="Y18" s="24">
        <f>(X18-X6)/X6</f>
        <v>0.54058721934369602</v>
      </c>
      <c r="Z18" s="3"/>
      <c r="AA18" s="24"/>
      <c r="AB18" s="3">
        <v>0</v>
      </c>
      <c r="AC18" s="24">
        <f>(AB18-AB6)/AB6</f>
        <v>-1</v>
      </c>
      <c r="AD18" s="31">
        <v>13</v>
      </c>
      <c r="AE18" s="26"/>
      <c r="AF18" s="3"/>
      <c r="AG18" s="9"/>
    </row>
    <row r="19" spans="1:33" s="152" customFormat="1" ht="13.5" hidden="1" customHeight="1">
      <c r="A19" s="461"/>
      <c r="B19" s="15" t="s">
        <v>36</v>
      </c>
      <c r="C19" s="3">
        <v>745998</v>
      </c>
      <c r="D19" s="9">
        <f t="shared" si="0"/>
        <v>0.1126875055000619</v>
      </c>
      <c r="E19" s="178"/>
      <c r="F19" s="3">
        <v>7259</v>
      </c>
      <c r="G19" s="134">
        <f t="shared" si="1"/>
        <v>-3.2907007727151612E-2</v>
      </c>
      <c r="H19" s="484"/>
      <c r="I19" s="481"/>
      <c r="J19" s="426"/>
      <c r="K19" s="481"/>
      <c r="L19" s="3"/>
      <c r="M19" s="9"/>
      <c r="N19" s="3"/>
      <c r="O19" s="9"/>
      <c r="P19" s="3"/>
      <c r="Q19" s="9"/>
      <c r="R19" s="3"/>
      <c r="S19" s="9"/>
      <c r="T19" s="3">
        <v>1745</v>
      </c>
      <c r="U19" s="9">
        <f t="shared" si="2"/>
        <v>0.15486432825943083</v>
      </c>
      <c r="V19" s="3">
        <v>455</v>
      </c>
      <c r="W19" s="9">
        <f t="shared" si="3"/>
        <v>1.5625E-2</v>
      </c>
      <c r="X19" s="3">
        <v>851</v>
      </c>
      <c r="Y19" s="9">
        <f t="shared" ref="Y19:Y81" si="4">(X19-X7)/X7</f>
        <v>-0.40820584144645339</v>
      </c>
      <c r="Z19" s="3"/>
      <c r="AA19" s="9"/>
      <c r="AB19" s="3">
        <v>5</v>
      </c>
      <c r="AC19" s="9">
        <f t="shared" ref="AC19:AC82" si="5">(AB19-AB7)/AB7</f>
        <v>-0.375</v>
      </c>
      <c r="AD19" s="11">
        <v>18</v>
      </c>
      <c r="AE19" s="36"/>
      <c r="AF19" s="3"/>
      <c r="AG19" s="9"/>
    </row>
    <row r="20" spans="1:33" s="152" customFormat="1" ht="13.5" hidden="1" customHeight="1">
      <c r="A20" s="461"/>
      <c r="B20" s="15" t="s">
        <v>21</v>
      </c>
      <c r="C20" s="3">
        <v>707058</v>
      </c>
      <c r="D20" s="9">
        <f t="shared" si="0"/>
        <v>0.20323877820869971</v>
      </c>
      <c r="E20" s="178"/>
      <c r="F20" s="3">
        <v>8513</v>
      </c>
      <c r="G20" s="134">
        <f t="shared" si="1"/>
        <v>-5.1370626253621571E-2</v>
      </c>
      <c r="H20" s="484"/>
      <c r="I20" s="481"/>
      <c r="J20" s="426"/>
      <c r="K20" s="481"/>
      <c r="L20" s="3"/>
      <c r="M20" s="9"/>
      <c r="N20" s="3"/>
      <c r="O20" s="9"/>
      <c r="P20" s="3"/>
      <c r="Q20" s="9"/>
      <c r="R20" s="3"/>
      <c r="S20" s="9"/>
      <c r="T20" s="3">
        <v>2131</v>
      </c>
      <c r="U20" s="9">
        <f t="shared" si="2"/>
        <v>0.19517666853617499</v>
      </c>
      <c r="V20" s="3">
        <v>610</v>
      </c>
      <c r="W20" s="9">
        <f t="shared" si="3"/>
        <v>-4.8939641109298528E-3</v>
      </c>
      <c r="X20" s="3">
        <v>677</v>
      </c>
      <c r="Y20" s="9">
        <f t="shared" si="4"/>
        <v>-0.23502824858757063</v>
      </c>
      <c r="Z20" s="3"/>
      <c r="AA20" s="9"/>
      <c r="AB20" s="3">
        <v>15</v>
      </c>
      <c r="AC20" s="9">
        <f t="shared" si="5"/>
        <v>-0.2857142857142857</v>
      </c>
      <c r="AD20" s="11">
        <v>24</v>
      </c>
      <c r="AE20" s="36"/>
      <c r="AF20" s="3"/>
      <c r="AG20" s="9"/>
    </row>
    <row r="21" spans="1:33" s="152" customFormat="1" ht="13.5" hidden="1" customHeight="1">
      <c r="A21" s="461"/>
      <c r="B21" s="15" t="s">
        <v>22</v>
      </c>
      <c r="C21" s="3">
        <v>762096</v>
      </c>
      <c r="D21" s="9">
        <f t="shared" si="0"/>
        <v>0.18630226972368244</v>
      </c>
      <c r="E21" s="178"/>
      <c r="F21" s="3">
        <v>10027</v>
      </c>
      <c r="G21" s="134">
        <f t="shared" si="1"/>
        <v>0.22699461576113558</v>
      </c>
      <c r="H21" s="484">
        <v>42000</v>
      </c>
      <c r="I21" s="481">
        <f>(H21-H9)/H9</f>
        <v>0.55555555555555558</v>
      </c>
      <c r="J21" s="426"/>
      <c r="K21" s="481"/>
      <c r="L21" s="3"/>
      <c r="M21" s="9"/>
      <c r="N21" s="3"/>
      <c r="O21" s="74"/>
      <c r="P21" s="3"/>
      <c r="Q21" s="9"/>
      <c r="R21" s="3"/>
      <c r="S21" s="9"/>
      <c r="T21" s="3">
        <v>3567</v>
      </c>
      <c r="U21" s="74">
        <f t="shared" si="2"/>
        <v>0.18662674650698602</v>
      </c>
      <c r="V21" s="3">
        <v>604</v>
      </c>
      <c r="W21" s="74">
        <f t="shared" si="3"/>
        <v>0.24793388429752067</v>
      </c>
      <c r="X21" s="3">
        <v>854</v>
      </c>
      <c r="Y21" s="74">
        <f t="shared" si="4"/>
        <v>4.4009779951100246E-2</v>
      </c>
      <c r="Z21" s="3"/>
      <c r="AA21" s="74"/>
      <c r="AB21" s="3">
        <v>14</v>
      </c>
      <c r="AC21" s="74">
        <f t="shared" si="5"/>
        <v>2.5</v>
      </c>
      <c r="AD21" s="11">
        <v>12</v>
      </c>
      <c r="AE21" s="36"/>
      <c r="AF21" s="3"/>
      <c r="AG21" s="9"/>
    </row>
    <row r="22" spans="1:33" s="152" customFormat="1" ht="13.5" hidden="1" customHeight="1">
      <c r="A22" s="461"/>
      <c r="B22" s="15" t="s">
        <v>23</v>
      </c>
      <c r="C22" s="3">
        <v>802497</v>
      </c>
      <c r="D22" s="9">
        <f t="shared" si="0"/>
        <v>0.17982166616435236</v>
      </c>
      <c r="E22" s="178"/>
      <c r="F22" s="3">
        <v>11347</v>
      </c>
      <c r="G22" s="134">
        <f t="shared" si="1"/>
        <v>-2.5492264416315047E-3</v>
      </c>
      <c r="H22" s="484"/>
      <c r="I22" s="481"/>
      <c r="J22" s="426"/>
      <c r="K22" s="481"/>
      <c r="L22" s="3"/>
      <c r="M22" s="9"/>
      <c r="N22" s="3"/>
      <c r="O22" s="9"/>
      <c r="P22" s="3"/>
      <c r="Q22" s="9"/>
      <c r="R22" s="3"/>
      <c r="S22" s="9"/>
      <c r="T22" s="3">
        <v>7202</v>
      </c>
      <c r="U22" s="9">
        <f t="shared" si="2"/>
        <v>0.47733333333333333</v>
      </c>
      <c r="V22" s="3">
        <v>1706</v>
      </c>
      <c r="W22" s="9">
        <f t="shared" si="3"/>
        <v>-0.17224648229015041</v>
      </c>
      <c r="X22" s="3">
        <v>1916</v>
      </c>
      <c r="Y22" s="9">
        <f t="shared" si="4"/>
        <v>3.6235803136830717E-2</v>
      </c>
      <c r="Z22" s="3"/>
      <c r="AA22" s="9"/>
      <c r="AB22" s="3">
        <v>10</v>
      </c>
      <c r="AC22" s="9">
        <f t="shared" si="5"/>
        <v>-0.41176470588235292</v>
      </c>
      <c r="AD22" s="11">
        <v>9</v>
      </c>
      <c r="AE22" s="36"/>
      <c r="AF22" s="3"/>
      <c r="AG22" s="9"/>
    </row>
    <row r="23" spans="1:33" s="152" customFormat="1" ht="13.5" hidden="1" customHeight="1">
      <c r="A23" s="461"/>
      <c r="B23" s="15" t="s">
        <v>24</v>
      </c>
      <c r="C23" s="3">
        <v>865693</v>
      </c>
      <c r="D23" s="9">
        <f t="shared" si="0"/>
        <v>0.21541712296071661</v>
      </c>
      <c r="E23" s="178"/>
      <c r="F23" s="3">
        <v>12023</v>
      </c>
      <c r="G23" s="134">
        <f t="shared" si="1"/>
        <v>2.2972857993703737E-2</v>
      </c>
      <c r="H23" s="484"/>
      <c r="I23" s="481"/>
      <c r="J23" s="426"/>
      <c r="K23" s="481"/>
      <c r="L23" s="3"/>
      <c r="M23" s="9"/>
      <c r="N23" s="3"/>
      <c r="O23" s="74"/>
      <c r="P23" s="3"/>
      <c r="Q23" s="9"/>
      <c r="R23" s="3"/>
      <c r="S23" s="9"/>
      <c r="T23" s="3">
        <v>6426</v>
      </c>
      <c r="U23" s="74">
        <f t="shared" si="2"/>
        <v>0.22563417890520696</v>
      </c>
      <c r="V23" s="3">
        <v>2776</v>
      </c>
      <c r="W23" s="74">
        <f t="shared" si="3"/>
        <v>-0.14055727554179567</v>
      </c>
      <c r="X23" s="3">
        <v>2562</v>
      </c>
      <c r="Y23" s="74">
        <f t="shared" si="4"/>
        <v>9.1141396933560478E-2</v>
      </c>
      <c r="Z23" s="3"/>
      <c r="AA23" s="74"/>
      <c r="AB23" s="3">
        <v>9</v>
      </c>
      <c r="AC23" s="74">
        <f t="shared" si="5"/>
        <v>-0.25</v>
      </c>
      <c r="AD23" s="11">
        <v>20</v>
      </c>
      <c r="AE23" s="36"/>
      <c r="AF23" s="3"/>
      <c r="AG23" s="9"/>
    </row>
    <row r="24" spans="1:33" s="152" customFormat="1" ht="13.5" hidden="1" customHeight="1">
      <c r="A24" s="461"/>
      <c r="B24" s="15" t="s">
        <v>25</v>
      </c>
      <c r="C24" s="3">
        <v>1020757</v>
      </c>
      <c r="D24" s="9">
        <f t="shared" si="0"/>
        <v>0.13767088630167826</v>
      </c>
      <c r="E24" s="178"/>
      <c r="F24" s="3">
        <v>21678</v>
      </c>
      <c r="G24" s="134">
        <f t="shared" si="1"/>
        <v>6.1606268364348675E-2</v>
      </c>
      <c r="H24" s="484">
        <v>58000</v>
      </c>
      <c r="I24" s="481">
        <f>(H24-H12)/H12</f>
        <v>-0.15942028985507245</v>
      </c>
      <c r="J24" s="426"/>
      <c r="K24" s="481"/>
      <c r="L24" s="3"/>
      <c r="M24" s="9"/>
      <c r="N24" s="3"/>
      <c r="O24" s="9"/>
      <c r="P24" s="3"/>
      <c r="Q24" s="9"/>
      <c r="R24" s="3"/>
      <c r="S24" s="9"/>
      <c r="T24" s="3">
        <v>10713</v>
      </c>
      <c r="U24" s="9">
        <f t="shared" si="2"/>
        <v>-1.8956043956043955E-2</v>
      </c>
      <c r="V24" s="3">
        <v>1889</v>
      </c>
      <c r="W24" s="9">
        <f t="shared" si="3"/>
        <v>-0.3209920920201294</v>
      </c>
      <c r="X24" s="3">
        <v>2157</v>
      </c>
      <c r="Y24" s="9">
        <f t="shared" si="4"/>
        <v>0.37651563497128271</v>
      </c>
      <c r="Z24" s="3"/>
      <c r="AA24" s="9"/>
      <c r="AB24" s="3">
        <v>15</v>
      </c>
      <c r="AC24" s="9">
        <f t="shared" si="5"/>
        <v>-0.16666666666666666</v>
      </c>
      <c r="AD24" s="11">
        <v>29</v>
      </c>
      <c r="AE24" s="36"/>
      <c r="AF24" s="3"/>
      <c r="AG24" s="9"/>
    </row>
    <row r="25" spans="1:33" s="152" customFormat="1" ht="13.5" hidden="1" customHeight="1">
      <c r="A25" s="461"/>
      <c r="B25" s="15" t="s">
        <v>26</v>
      </c>
      <c r="C25" s="3">
        <v>1070289</v>
      </c>
      <c r="D25" s="9">
        <f t="shared" si="0"/>
        <v>0.15013975260404075</v>
      </c>
      <c r="E25" s="178"/>
      <c r="F25" s="3">
        <v>17507</v>
      </c>
      <c r="G25" s="134">
        <f t="shared" si="1"/>
        <v>0.15056519453207151</v>
      </c>
      <c r="H25" s="484"/>
      <c r="I25" s="481"/>
      <c r="J25" s="426"/>
      <c r="K25" s="481"/>
      <c r="L25" s="3"/>
      <c r="M25" s="9"/>
      <c r="N25" s="3"/>
      <c r="O25" s="74"/>
      <c r="P25" s="3"/>
      <c r="Q25" s="9"/>
      <c r="R25" s="3"/>
      <c r="S25" s="9"/>
      <c r="T25" s="3">
        <v>7771</v>
      </c>
      <c r="U25" s="74">
        <f t="shared" si="2"/>
        <v>0.18208092485549132</v>
      </c>
      <c r="V25" s="3">
        <v>2389</v>
      </c>
      <c r="W25" s="74">
        <f t="shared" si="3"/>
        <v>-0.15463552724699223</v>
      </c>
      <c r="X25" s="3">
        <v>2422</v>
      </c>
      <c r="Y25" s="74">
        <f t="shared" si="4"/>
        <v>0.12808570097810898</v>
      </c>
      <c r="Z25" s="3"/>
      <c r="AA25" s="74"/>
      <c r="AB25" s="3">
        <v>20</v>
      </c>
      <c r="AC25" s="74">
        <f t="shared" si="5"/>
        <v>9</v>
      </c>
      <c r="AD25" s="11">
        <v>18</v>
      </c>
      <c r="AE25" s="36"/>
      <c r="AF25" s="3"/>
      <c r="AG25" s="9"/>
    </row>
    <row r="26" spans="1:33" s="152" customFormat="1" ht="13.5" hidden="1" customHeight="1">
      <c r="A26" s="461"/>
      <c r="B26" s="15" t="s">
        <v>27</v>
      </c>
      <c r="C26" s="3">
        <v>785549</v>
      </c>
      <c r="D26" s="9">
        <f t="shared" si="0"/>
        <v>0.15141943351645451</v>
      </c>
      <c r="E26" s="178"/>
      <c r="F26" s="3">
        <v>12454</v>
      </c>
      <c r="G26" s="134">
        <f t="shared" si="1"/>
        <v>6.8554268554268549E-2</v>
      </c>
      <c r="H26" s="484"/>
      <c r="I26" s="481"/>
      <c r="J26" s="426"/>
      <c r="K26" s="481"/>
      <c r="L26" s="3"/>
      <c r="M26" s="9"/>
      <c r="N26" s="3"/>
      <c r="O26" s="74"/>
      <c r="P26" s="3"/>
      <c r="Q26" s="9"/>
      <c r="R26" s="3"/>
      <c r="S26" s="9"/>
      <c r="T26" s="3">
        <v>4646</v>
      </c>
      <c r="U26" s="74">
        <f t="shared" si="2"/>
        <v>0.11361457334611696</v>
      </c>
      <c r="V26" s="3">
        <v>1118</v>
      </c>
      <c r="W26" s="74">
        <f t="shared" si="3"/>
        <v>4.4923629829290209E-3</v>
      </c>
      <c r="X26" s="3">
        <v>1297</v>
      </c>
      <c r="Y26" s="74">
        <f t="shared" si="4"/>
        <v>-0.19190031152647974</v>
      </c>
      <c r="Z26" s="3"/>
      <c r="AA26" s="74"/>
      <c r="AB26" s="3">
        <v>11</v>
      </c>
      <c r="AC26" s="74">
        <f t="shared" si="5"/>
        <v>1.75</v>
      </c>
      <c r="AD26" s="11">
        <v>34</v>
      </c>
      <c r="AE26" s="36"/>
      <c r="AF26" s="3"/>
      <c r="AG26" s="9"/>
    </row>
    <row r="27" spans="1:33" s="152" customFormat="1" ht="13.5" hidden="1" customHeight="1">
      <c r="A27" s="461"/>
      <c r="B27" s="15" t="s">
        <v>28</v>
      </c>
      <c r="C27" s="3">
        <v>848088</v>
      </c>
      <c r="D27" s="9">
        <f t="shared" si="0"/>
        <v>0.11953195747276044</v>
      </c>
      <c r="E27" s="178"/>
      <c r="F27" s="3">
        <v>11916</v>
      </c>
      <c r="G27" s="134">
        <f t="shared" si="1"/>
        <v>0.10507279977742744</v>
      </c>
      <c r="H27" s="484">
        <v>24000</v>
      </c>
      <c r="I27" s="481">
        <f>(H27-H15)/H15</f>
        <v>-0.04</v>
      </c>
      <c r="J27" s="426"/>
      <c r="K27" s="481"/>
      <c r="L27" s="3"/>
      <c r="M27" s="9"/>
      <c r="N27" s="3"/>
      <c r="O27" s="9"/>
      <c r="P27" s="3"/>
      <c r="Q27" s="9"/>
      <c r="R27" s="3"/>
      <c r="S27" s="9"/>
      <c r="T27" s="3">
        <v>5752</v>
      </c>
      <c r="U27" s="9">
        <f t="shared" si="2"/>
        <v>0.80426599749058969</v>
      </c>
      <c r="V27" s="3">
        <v>789</v>
      </c>
      <c r="W27" s="9">
        <f t="shared" si="3"/>
        <v>0.100418410041841</v>
      </c>
      <c r="X27" s="3">
        <v>890</v>
      </c>
      <c r="Y27" s="9">
        <f t="shared" si="4"/>
        <v>7.8787878787878782E-2</v>
      </c>
      <c r="Z27" s="3"/>
      <c r="AA27" s="9"/>
      <c r="AB27" s="3">
        <v>21</v>
      </c>
      <c r="AC27" s="9">
        <f t="shared" si="5"/>
        <v>9.5</v>
      </c>
      <c r="AD27" s="11">
        <v>30</v>
      </c>
      <c r="AE27" s="36"/>
      <c r="AF27" s="3"/>
      <c r="AG27" s="9"/>
    </row>
    <row r="28" spans="1:33" s="152" customFormat="1" ht="13.5" hidden="1" customHeight="1">
      <c r="A28" s="461"/>
      <c r="B28" s="15" t="s">
        <v>29</v>
      </c>
      <c r="C28" s="3">
        <v>784031</v>
      </c>
      <c r="D28" s="9">
        <f t="shared" si="0"/>
        <v>5.1139113565459644E-2</v>
      </c>
      <c r="E28" s="178"/>
      <c r="F28" s="3">
        <v>8063</v>
      </c>
      <c r="G28" s="134">
        <f t="shared" si="1"/>
        <v>4.2539436255495215E-2</v>
      </c>
      <c r="H28" s="484"/>
      <c r="I28" s="481"/>
      <c r="J28" s="426"/>
      <c r="K28" s="481"/>
      <c r="L28" s="3"/>
      <c r="M28" s="9"/>
      <c r="N28" s="3"/>
      <c r="O28" s="9"/>
      <c r="P28" s="3"/>
      <c r="Q28" s="9"/>
      <c r="R28" s="3"/>
      <c r="S28" s="9"/>
      <c r="T28" s="3">
        <v>2753</v>
      </c>
      <c r="U28" s="9">
        <f t="shared" si="2"/>
        <v>0.47613941018766753</v>
      </c>
      <c r="V28" s="3">
        <v>536</v>
      </c>
      <c r="W28" s="9">
        <f t="shared" si="3"/>
        <v>0.28537170263788969</v>
      </c>
      <c r="X28" s="3">
        <v>1101</v>
      </c>
      <c r="Y28" s="9">
        <f t="shared" si="4"/>
        <v>0.38316582914572866</v>
      </c>
      <c r="Z28" s="3"/>
      <c r="AA28" s="9"/>
      <c r="AB28" s="3">
        <v>5</v>
      </c>
      <c r="AC28" s="9">
        <f t="shared" si="5"/>
        <v>0.25</v>
      </c>
      <c r="AD28" s="11">
        <v>20</v>
      </c>
      <c r="AE28" s="36"/>
      <c r="AF28" s="3"/>
      <c r="AG28" s="9"/>
    </row>
    <row r="29" spans="1:33" s="152" customFormat="1" ht="13.5" hidden="1" customHeight="1">
      <c r="A29" s="462"/>
      <c r="B29" s="41" t="s">
        <v>30</v>
      </c>
      <c r="C29" s="18">
        <v>790681</v>
      </c>
      <c r="D29" s="19">
        <f t="shared" si="0"/>
        <v>8.9547014800943098E-2</v>
      </c>
      <c r="E29" s="178"/>
      <c r="F29" s="3">
        <v>6666</v>
      </c>
      <c r="G29" s="134">
        <f t="shared" si="1"/>
        <v>0.2</v>
      </c>
      <c r="H29" s="485"/>
      <c r="I29" s="481"/>
      <c r="J29" s="433"/>
      <c r="K29" s="481"/>
      <c r="L29" s="3"/>
      <c r="M29" s="9"/>
      <c r="N29" s="3"/>
      <c r="O29" s="9"/>
      <c r="P29" s="3"/>
      <c r="Q29" s="19"/>
      <c r="R29" s="3"/>
      <c r="S29" s="19"/>
      <c r="T29" s="3">
        <v>2154</v>
      </c>
      <c r="U29" s="9">
        <f t="shared" si="2"/>
        <v>0.41153342070773263</v>
      </c>
      <c r="V29" s="3">
        <v>298</v>
      </c>
      <c r="W29" s="9">
        <f t="shared" si="3"/>
        <v>-9.696969696969697E-2</v>
      </c>
      <c r="X29" s="3">
        <v>980</v>
      </c>
      <c r="Y29" s="9">
        <f t="shared" si="4"/>
        <v>0.88824662813102118</v>
      </c>
      <c r="Z29" s="3"/>
      <c r="AA29" s="9"/>
      <c r="AB29" s="3">
        <v>5</v>
      </c>
      <c r="AC29" s="9"/>
      <c r="AD29" s="48">
        <v>11</v>
      </c>
      <c r="AE29" s="43"/>
      <c r="AF29" s="3"/>
      <c r="AG29" s="19"/>
    </row>
    <row r="30" spans="1:33" s="152" customFormat="1" ht="13.5" hidden="1" customHeight="1">
      <c r="A30" s="457" t="s">
        <v>38</v>
      </c>
      <c r="B30" s="15" t="s">
        <v>35</v>
      </c>
      <c r="C30" s="3">
        <v>985287</v>
      </c>
      <c r="D30" s="9">
        <f t="shared" si="0"/>
        <v>9.7927805252026393E-2</v>
      </c>
      <c r="E30" s="178"/>
      <c r="F30" s="23">
        <v>9022</v>
      </c>
      <c r="G30" s="135">
        <f t="shared" si="1"/>
        <v>-8.0044865912103594E-2</v>
      </c>
      <c r="H30" s="501">
        <v>31000</v>
      </c>
      <c r="I30" s="498">
        <f>(H30-H18)/H18</f>
        <v>0.24</v>
      </c>
      <c r="J30" s="440">
        <v>110788</v>
      </c>
      <c r="K30" s="414">
        <f>(J30-J18)/J18</f>
        <v>-3.8931496749714531E-3</v>
      </c>
      <c r="L30" s="23"/>
      <c r="M30" s="24"/>
      <c r="N30" s="23"/>
      <c r="O30" s="24"/>
      <c r="P30" s="23"/>
      <c r="Q30" s="9"/>
      <c r="R30" s="23"/>
      <c r="S30" s="9"/>
      <c r="T30" s="23">
        <v>3010</v>
      </c>
      <c r="U30" s="24">
        <f t="shared" si="2"/>
        <v>0.14361702127659576</v>
      </c>
      <c r="V30" s="23">
        <v>305</v>
      </c>
      <c r="W30" s="24">
        <f t="shared" si="3"/>
        <v>-0.18449197860962566</v>
      </c>
      <c r="X30" s="23">
        <v>1333</v>
      </c>
      <c r="Y30" s="24">
        <f>(X30-X18)/X18</f>
        <v>0.4943946188340807</v>
      </c>
      <c r="Z30" s="23"/>
      <c r="AA30" s="24"/>
      <c r="AB30" s="23">
        <v>14</v>
      </c>
      <c r="AC30" s="24"/>
      <c r="AD30" s="5">
        <v>20</v>
      </c>
      <c r="AE30" s="26">
        <f t="shared" ref="AE30:AE77" si="6">(AD30-AD18)/AD18</f>
        <v>0.53846153846153844</v>
      </c>
      <c r="AF30" s="23"/>
      <c r="AG30" s="9"/>
    </row>
    <row r="31" spans="1:33" s="152" customFormat="1" ht="13.5" hidden="1" customHeight="1">
      <c r="A31" s="461"/>
      <c r="B31" s="15" t="s">
        <v>36</v>
      </c>
      <c r="C31" s="3">
        <v>944596</v>
      </c>
      <c r="D31" s="9">
        <f t="shared" si="0"/>
        <v>0.2662178718977799</v>
      </c>
      <c r="E31" s="178"/>
      <c r="F31" s="3">
        <v>8049</v>
      </c>
      <c r="G31" s="134">
        <f t="shared" si="1"/>
        <v>0.10883041741286678</v>
      </c>
      <c r="H31" s="484"/>
      <c r="I31" s="481"/>
      <c r="J31" s="426"/>
      <c r="K31" s="415"/>
      <c r="L31" s="3"/>
      <c r="M31" s="9"/>
      <c r="N31" s="3"/>
      <c r="O31" s="9"/>
      <c r="P31" s="3"/>
      <c r="Q31" s="9"/>
      <c r="R31" s="3"/>
      <c r="S31" s="9"/>
      <c r="T31" s="3">
        <v>3164</v>
      </c>
      <c r="U31" s="9">
        <f t="shared" si="2"/>
        <v>0.81318051575931227</v>
      </c>
      <c r="V31" s="3">
        <v>390</v>
      </c>
      <c r="W31" s="9">
        <f t="shared" si="3"/>
        <v>-0.14285714285714285</v>
      </c>
      <c r="X31" s="3">
        <v>1331</v>
      </c>
      <c r="Y31" s="9">
        <f t="shared" si="4"/>
        <v>0.56404230317273796</v>
      </c>
      <c r="Z31" s="3"/>
      <c r="AA31" s="9"/>
      <c r="AB31" s="3">
        <v>8</v>
      </c>
      <c r="AC31" s="9">
        <f t="shared" si="5"/>
        <v>0.6</v>
      </c>
      <c r="AD31" s="5">
        <v>27</v>
      </c>
      <c r="AE31" s="36">
        <f t="shared" si="6"/>
        <v>0.5</v>
      </c>
      <c r="AF31" s="3"/>
      <c r="AG31" s="9"/>
    </row>
    <row r="32" spans="1:33" s="152" customFormat="1" ht="13.5" hidden="1" customHeight="1">
      <c r="A32" s="461"/>
      <c r="B32" s="15" t="s">
        <v>21</v>
      </c>
      <c r="C32" s="3">
        <v>823918</v>
      </c>
      <c r="D32" s="9">
        <f t="shared" si="0"/>
        <v>0.16527639882442458</v>
      </c>
      <c r="E32" s="178"/>
      <c r="F32" s="3">
        <v>10113</v>
      </c>
      <c r="G32" s="134">
        <f t="shared" si="1"/>
        <v>0.18794784447315871</v>
      </c>
      <c r="H32" s="484"/>
      <c r="I32" s="481"/>
      <c r="J32" s="426"/>
      <c r="K32" s="415"/>
      <c r="L32" s="3"/>
      <c r="M32" s="9"/>
      <c r="N32" s="3"/>
      <c r="O32" s="9"/>
      <c r="P32" s="3"/>
      <c r="Q32" s="9"/>
      <c r="R32" s="3"/>
      <c r="S32" s="9"/>
      <c r="T32" s="3">
        <v>3136</v>
      </c>
      <c r="U32" s="9">
        <f t="shared" si="2"/>
        <v>0.47160957297043643</v>
      </c>
      <c r="V32" s="3">
        <v>403</v>
      </c>
      <c r="W32" s="9">
        <f t="shared" si="3"/>
        <v>-0.33934426229508197</v>
      </c>
      <c r="X32" s="3">
        <v>1448</v>
      </c>
      <c r="Y32" s="9">
        <f t="shared" si="4"/>
        <v>1.138847858197932</v>
      </c>
      <c r="Z32" s="3"/>
      <c r="AA32" s="9"/>
      <c r="AB32" s="3">
        <v>13</v>
      </c>
      <c r="AC32" s="9">
        <f t="shared" si="5"/>
        <v>-0.13333333333333333</v>
      </c>
      <c r="AD32" s="5">
        <v>19</v>
      </c>
      <c r="AE32" s="36">
        <f t="shared" si="6"/>
        <v>-0.20833333333333334</v>
      </c>
      <c r="AF32" s="3"/>
      <c r="AG32" s="9"/>
    </row>
    <row r="33" spans="1:33" s="152" customFormat="1" ht="13.5" hidden="1" customHeight="1">
      <c r="A33" s="461"/>
      <c r="B33" s="15" t="s">
        <v>22</v>
      </c>
      <c r="C33" s="3">
        <v>855083</v>
      </c>
      <c r="D33" s="9">
        <f t="shared" si="0"/>
        <v>0.12201481178224266</v>
      </c>
      <c r="E33" s="178"/>
      <c r="F33" s="3">
        <v>9639</v>
      </c>
      <c r="G33" s="134">
        <f t="shared" si="1"/>
        <v>-3.8695522090356038E-2</v>
      </c>
      <c r="H33" s="484">
        <v>27000</v>
      </c>
      <c r="I33" s="481">
        <f>(H33-H21)/H21</f>
        <v>-0.35714285714285715</v>
      </c>
      <c r="J33" s="426"/>
      <c r="K33" s="415"/>
      <c r="L33" s="3"/>
      <c r="M33" s="9"/>
      <c r="N33" s="3"/>
      <c r="O33" s="74"/>
      <c r="P33" s="3"/>
      <c r="Q33" s="9"/>
      <c r="R33" s="3"/>
      <c r="S33" s="9"/>
      <c r="T33" s="3">
        <v>5500</v>
      </c>
      <c r="U33" s="74">
        <f t="shared" si="2"/>
        <v>0.54191197084384635</v>
      </c>
      <c r="V33" s="3">
        <v>610</v>
      </c>
      <c r="W33" s="74">
        <f t="shared" si="3"/>
        <v>9.9337748344370865E-3</v>
      </c>
      <c r="X33" s="3">
        <v>788</v>
      </c>
      <c r="Y33" s="74">
        <f t="shared" si="4"/>
        <v>-7.7283372365339581E-2</v>
      </c>
      <c r="Z33" s="3"/>
      <c r="AA33" s="74"/>
      <c r="AB33" s="3">
        <v>6</v>
      </c>
      <c r="AC33" s="74">
        <f t="shared" si="5"/>
        <v>-0.5714285714285714</v>
      </c>
      <c r="AD33" s="5">
        <v>24</v>
      </c>
      <c r="AE33" s="36">
        <f t="shared" si="6"/>
        <v>1</v>
      </c>
      <c r="AF33" s="3"/>
      <c r="AG33" s="9"/>
    </row>
    <row r="34" spans="1:33" s="152" customFormat="1" ht="13.5" hidden="1" customHeight="1">
      <c r="A34" s="461"/>
      <c r="B34" s="15" t="s">
        <v>23</v>
      </c>
      <c r="C34" s="3">
        <v>906482</v>
      </c>
      <c r="D34" s="9">
        <f t="shared" si="0"/>
        <v>0.12957680838682262</v>
      </c>
      <c r="E34" s="178"/>
      <c r="F34" s="3">
        <v>12351</v>
      </c>
      <c r="G34" s="134">
        <f t="shared" si="1"/>
        <v>8.8481536970124258E-2</v>
      </c>
      <c r="H34" s="484"/>
      <c r="I34" s="481"/>
      <c r="J34" s="426"/>
      <c r="K34" s="415"/>
      <c r="L34" s="3"/>
      <c r="M34" s="9"/>
      <c r="N34" s="3"/>
      <c r="O34" s="9"/>
      <c r="P34" s="3"/>
      <c r="Q34" s="9"/>
      <c r="R34" s="3"/>
      <c r="S34" s="9"/>
      <c r="T34" s="3">
        <v>8157</v>
      </c>
      <c r="U34" s="9">
        <f t="shared" si="2"/>
        <v>0.13260205498472646</v>
      </c>
      <c r="V34" s="3">
        <v>2164</v>
      </c>
      <c r="W34" s="9">
        <f t="shared" si="3"/>
        <v>0.26846424384525203</v>
      </c>
      <c r="X34" s="3">
        <v>2439</v>
      </c>
      <c r="Y34" s="9">
        <f t="shared" si="4"/>
        <v>0.27296450939457201</v>
      </c>
      <c r="Z34" s="3"/>
      <c r="AA34" s="9"/>
      <c r="AB34" s="3">
        <v>18</v>
      </c>
      <c r="AC34" s="9">
        <f t="shared" si="5"/>
        <v>0.8</v>
      </c>
      <c r="AD34" s="5">
        <v>26</v>
      </c>
      <c r="AE34" s="36">
        <f t="shared" si="6"/>
        <v>1.8888888888888888</v>
      </c>
      <c r="AF34" s="3"/>
      <c r="AG34" s="9"/>
    </row>
    <row r="35" spans="1:33" s="152" customFormat="1" ht="13.5" hidden="1" customHeight="1">
      <c r="A35" s="461"/>
      <c r="B35" s="15" t="s">
        <v>24</v>
      </c>
      <c r="C35" s="3">
        <v>915942</v>
      </c>
      <c r="D35" s="9">
        <f t="shared" si="0"/>
        <v>5.8044826514711337E-2</v>
      </c>
      <c r="E35" s="178"/>
      <c r="F35" s="3">
        <v>19817</v>
      </c>
      <c r="G35" s="134">
        <f t="shared" si="1"/>
        <v>0.64825750644597857</v>
      </c>
      <c r="H35" s="484"/>
      <c r="I35" s="481"/>
      <c r="J35" s="426"/>
      <c r="K35" s="415"/>
      <c r="L35" s="3"/>
      <c r="M35" s="9"/>
      <c r="N35" s="3"/>
      <c r="O35" s="74"/>
      <c r="P35" s="3"/>
      <c r="Q35" s="9"/>
      <c r="R35" s="3"/>
      <c r="S35" s="9"/>
      <c r="T35" s="3">
        <v>7688</v>
      </c>
      <c r="U35" s="74">
        <f t="shared" si="2"/>
        <v>0.19638966697790228</v>
      </c>
      <c r="V35" s="3">
        <v>3120</v>
      </c>
      <c r="W35" s="74">
        <f t="shared" si="3"/>
        <v>0.1239193083573487</v>
      </c>
      <c r="X35" s="3">
        <v>2602</v>
      </c>
      <c r="Y35" s="74">
        <f t="shared" si="4"/>
        <v>1.56128024980484E-2</v>
      </c>
      <c r="Z35" s="3"/>
      <c r="AA35" s="74"/>
      <c r="AB35" s="3">
        <v>14</v>
      </c>
      <c r="AC35" s="74">
        <f t="shared" si="5"/>
        <v>0.55555555555555558</v>
      </c>
      <c r="AD35" s="5">
        <v>42</v>
      </c>
      <c r="AE35" s="36">
        <f t="shared" si="6"/>
        <v>1.1000000000000001</v>
      </c>
      <c r="AF35" s="3"/>
      <c r="AG35" s="9"/>
    </row>
    <row r="36" spans="1:33" s="152" customFormat="1" ht="13.5" hidden="1" customHeight="1">
      <c r="A36" s="461"/>
      <c r="B36" s="15" t="s">
        <v>25</v>
      </c>
      <c r="C36" s="3">
        <v>1098740</v>
      </c>
      <c r="D36" s="9">
        <f t="shared" si="0"/>
        <v>7.6397222845398072E-2</v>
      </c>
      <c r="E36" s="178"/>
      <c r="F36" s="3">
        <v>21057</v>
      </c>
      <c r="G36" s="134">
        <f t="shared" si="1"/>
        <v>-2.8646554110157763E-2</v>
      </c>
      <c r="H36" s="484">
        <v>73000</v>
      </c>
      <c r="I36" s="481">
        <f>(H36-H24)/H24</f>
        <v>0.25862068965517243</v>
      </c>
      <c r="J36" s="426"/>
      <c r="K36" s="415"/>
      <c r="L36" s="3"/>
      <c r="M36" s="9"/>
      <c r="N36" s="3"/>
      <c r="O36" s="9"/>
      <c r="P36" s="3"/>
      <c r="Q36" s="9"/>
      <c r="R36" s="3"/>
      <c r="S36" s="9"/>
      <c r="T36" s="3">
        <v>13552</v>
      </c>
      <c r="U36" s="9">
        <f t="shared" si="2"/>
        <v>0.26500513394940728</v>
      </c>
      <c r="V36" s="3">
        <v>2487</v>
      </c>
      <c r="W36" s="9">
        <f t="shared" si="3"/>
        <v>0.31656961355214397</v>
      </c>
      <c r="X36" s="3">
        <v>2553</v>
      </c>
      <c r="Y36" s="9">
        <f t="shared" si="4"/>
        <v>0.1835883171070932</v>
      </c>
      <c r="Z36" s="3"/>
      <c r="AA36" s="9"/>
      <c r="AB36" s="3">
        <v>11</v>
      </c>
      <c r="AC36" s="9">
        <f t="shared" si="5"/>
        <v>-0.26666666666666666</v>
      </c>
      <c r="AD36" s="5">
        <v>55</v>
      </c>
      <c r="AE36" s="36">
        <f t="shared" si="6"/>
        <v>0.89655172413793105</v>
      </c>
      <c r="AF36" s="3"/>
      <c r="AG36" s="9"/>
    </row>
    <row r="37" spans="1:33" s="152" customFormat="1" ht="13.5" hidden="1" customHeight="1">
      <c r="A37" s="461"/>
      <c r="B37" s="15" t="s">
        <v>26</v>
      </c>
      <c r="C37" s="3">
        <v>1159874</v>
      </c>
      <c r="D37" s="9">
        <f t="shared" si="0"/>
        <v>8.3701691786050303E-2</v>
      </c>
      <c r="E37" s="178"/>
      <c r="F37" s="3">
        <v>17609</v>
      </c>
      <c r="G37" s="134">
        <f t="shared" si="1"/>
        <v>5.8262409321985491E-3</v>
      </c>
      <c r="H37" s="484"/>
      <c r="I37" s="481"/>
      <c r="J37" s="426"/>
      <c r="K37" s="415"/>
      <c r="L37" s="3"/>
      <c r="M37" s="9"/>
      <c r="N37" s="3"/>
      <c r="O37" s="74"/>
      <c r="P37" s="3"/>
      <c r="Q37" s="9"/>
      <c r="R37" s="3"/>
      <c r="S37" s="9"/>
      <c r="T37" s="3">
        <v>11793</v>
      </c>
      <c r="U37" s="74">
        <f t="shared" si="2"/>
        <v>0.51756530691030755</v>
      </c>
      <c r="V37" s="3">
        <v>2429</v>
      </c>
      <c r="W37" s="74">
        <f t="shared" si="3"/>
        <v>1.6743407283382167E-2</v>
      </c>
      <c r="X37" s="3">
        <v>3235</v>
      </c>
      <c r="Y37" s="74">
        <f t="shared" si="4"/>
        <v>0.33567299752270852</v>
      </c>
      <c r="Z37" s="3"/>
      <c r="AA37" s="74"/>
      <c r="AB37" s="3">
        <v>14</v>
      </c>
      <c r="AC37" s="74">
        <f t="shared" si="5"/>
        <v>-0.3</v>
      </c>
      <c r="AD37" s="5">
        <v>41</v>
      </c>
      <c r="AE37" s="36">
        <f t="shared" si="6"/>
        <v>1.2777777777777777</v>
      </c>
      <c r="AF37" s="3"/>
      <c r="AG37" s="9"/>
    </row>
    <row r="38" spans="1:33" s="152" customFormat="1" ht="13.5" hidden="1" customHeight="1">
      <c r="A38" s="461"/>
      <c r="B38" s="15" t="s">
        <v>27</v>
      </c>
      <c r="C38" s="3">
        <v>931946</v>
      </c>
      <c r="D38" s="9">
        <f t="shared" si="0"/>
        <v>0.18636265847197311</v>
      </c>
      <c r="E38" s="178"/>
      <c r="F38" s="3">
        <v>13485</v>
      </c>
      <c r="G38" s="134">
        <f t="shared" si="1"/>
        <v>8.2784647502810338E-2</v>
      </c>
      <c r="H38" s="484"/>
      <c r="I38" s="481"/>
      <c r="J38" s="426"/>
      <c r="K38" s="415"/>
      <c r="L38" s="3"/>
      <c r="M38" s="9"/>
      <c r="N38" s="3"/>
      <c r="O38" s="74"/>
      <c r="P38" s="3"/>
      <c r="Q38" s="9"/>
      <c r="R38" s="3"/>
      <c r="S38" s="9"/>
      <c r="T38" s="3">
        <v>8633</v>
      </c>
      <c r="U38" s="74">
        <f t="shared" si="2"/>
        <v>0.85815755488592338</v>
      </c>
      <c r="V38" s="3">
        <v>2028</v>
      </c>
      <c r="W38" s="74">
        <f t="shared" si="3"/>
        <v>0.81395348837209303</v>
      </c>
      <c r="X38" s="3">
        <v>2714</v>
      </c>
      <c r="Y38" s="74">
        <f t="shared" si="4"/>
        <v>1.0925212027756361</v>
      </c>
      <c r="Z38" s="3"/>
      <c r="AA38" s="74"/>
      <c r="AB38" s="3">
        <v>13</v>
      </c>
      <c r="AC38" s="74">
        <f t="shared" si="5"/>
        <v>0.18181818181818182</v>
      </c>
      <c r="AD38" s="5">
        <v>47</v>
      </c>
      <c r="AE38" s="36">
        <f t="shared" si="6"/>
        <v>0.38235294117647056</v>
      </c>
      <c r="AF38" s="3"/>
      <c r="AG38" s="9"/>
    </row>
    <row r="39" spans="1:33" s="152" customFormat="1" ht="13.5" hidden="1" customHeight="1">
      <c r="A39" s="461"/>
      <c r="B39" s="15" t="s">
        <v>28</v>
      </c>
      <c r="C39" s="3">
        <v>984649</v>
      </c>
      <c r="D39" s="9">
        <f t="shared" si="0"/>
        <v>0.16102220524285216</v>
      </c>
      <c r="E39" s="178"/>
      <c r="F39" s="3">
        <v>13175</v>
      </c>
      <c r="G39" s="134">
        <f t="shared" si="1"/>
        <v>0.10565626049009735</v>
      </c>
      <c r="H39" s="484">
        <v>22000</v>
      </c>
      <c r="I39" s="481">
        <f>(H39-H27)/H27</f>
        <v>-8.3333333333333329E-2</v>
      </c>
      <c r="J39" s="426"/>
      <c r="K39" s="415"/>
      <c r="L39" s="3"/>
      <c r="M39" s="9"/>
      <c r="N39" s="3"/>
      <c r="O39" s="9"/>
      <c r="P39" s="3"/>
      <c r="Q39" s="9"/>
      <c r="R39" s="3"/>
      <c r="S39" s="9"/>
      <c r="T39" s="3">
        <v>8568</v>
      </c>
      <c r="U39" s="9">
        <f t="shared" si="2"/>
        <v>0.48956884561891517</v>
      </c>
      <c r="V39" s="3">
        <v>787</v>
      </c>
      <c r="W39" s="9">
        <f t="shared" si="3"/>
        <v>-2.5348542458808617E-3</v>
      </c>
      <c r="X39" s="3">
        <v>3204</v>
      </c>
      <c r="Y39" s="9">
        <f t="shared" si="4"/>
        <v>2.6</v>
      </c>
      <c r="Z39" s="3"/>
      <c r="AA39" s="9"/>
      <c r="AB39" s="3">
        <v>4</v>
      </c>
      <c r="AC39" s="9">
        <f t="shared" si="5"/>
        <v>-0.80952380952380953</v>
      </c>
      <c r="AD39" s="5">
        <v>41</v>
      </c>
      <c r="AE39" s="36">
        <f t="shared" si="6"/>
        <v>0.36666666666666664</v>
      </c>
      <c r="AF39" s="3"/>
      <c r="AG39" s="9"/>
    </row>
    <row r="40" spans="1:33" s="152" customFormat="1" ht="13.5" hidden="1" customHeight="1">
      <c r="A40" s="461"/>
      <c r="B40" s="15" t="s">
        <v>29</v>
      </c>
      <c r="C40" s="3">
        <v>987488</v>
      </c>
      <c r="D40" s="9">
        <f t="shared" si="0"/>
        <v>0.25950121870181153</v>
      </c>
      <c r="E40" s="178"/>
      <c r="F40" s="77">
        <v>10553</v>
      </c>
      <c r="G40" s="134">
        <f t="shared" si="1"/>
        <v>0.30881805779486543</v>
      </c>
      <c r="H40" s="484"/>
      <c r="I40" s="481"/>
      <c r="J40" s="426"/>
      <c r="K40" s="415"/>
      <c r="L40" s="3"/>
      <c r="M40" s="9"/>
      <c r="N40" s="3"/>
      <c r="O40" s="9"/>
      <c r="P40" s="3"/>
      <c r="Q40" s="9"/>
      <c r="R40" s="3"/>
      <c r="S40" s="9"/>
      <c r="T40" s="3">
        <v>3904</v>
      </c>
      <c r="U40" s="9">
        <f t="shared" si="2"/>
        <v>0.41808935706501998</v>
      </c>
      <c r="V40" s="3">
        <v>556</v>
      </c>
      <c r="W40" s="9">
        <f t="shared" si="3"/>
        <v>3.7313432835820892E-2</v>
      </c>
      <c r="X40" s="3">
        <v>1278</v>
      </c>
      <c r="Y40" s="9">
        <f t="shared" si="4"/>
        <v>0.16076294277929154</v>
      </c>
      <c r="Z40" s="3"/>
      <c r="AA40" s="9"/>
      <c r="AB40" s="3">
        <v>14</v>
      </c>
      <c r="AC40" s="9">
        <f t="shared" si="5"/>
        <v>1.8</v>
      </c>
      <c r="AD40" s="5">
        <v>49</v>
      </c>
      <c r="AE40" s="36">
        <f t="shared" si="6"/>
        <v>1.45</v>
      </c>
      <c r="AF40" s="3"/>
      <c r="AG40" s="9"/>
    </row>
    <row r="41" spans="1:33" s="152" customFormat="1" ht="13.5" hidden="1" customHeight="1">
      <c r="A41" s="462"/>
      <c r="B41" s="15" t="s">
        <v>30</v>
      </c>
      <c r="C41" s="52">
        <v>1015874</v>
      </c>
      <c r="D41" s="9">
        <f t="shared" si="0"/>
        <v>0.28480891788218005</v>
      </c>
      <c r="E41" s="178"/>
      <c r="F41" s="77">
        <v>7449</v>
      </c>
      <c r="G41" s="134">
        <f t="shared" si="1"/>
        <v>0.11746174617461747</v>
      </c>
      <c r="H41" s="485"/>
      <c r="I41" s="481"/>
      <c r="J41" s="433"/>
      <c r="K41" s="416"/>
      <c r="L41" s="3"/>
      <c r="M41" s="9"/>
      <c r="N41" s="3"/>
      <c r="O41" s="9"/>
      <c r="P41" s="3"/>
      <c r="Q41" s="9"/>
      <c r="R41" s="3"/>
      <c r="S41" s="9"/>
      <c r="T41" s="3">
        <v>3387</v>
      </c>
      <c r="U41" s="9">
        <f t="shared" si="2"/>
        <v>0.57242339832869082</v>
      </c>
      <c r="V41" s="3">
        <v>376</v>
      </c>
      <c r="W41" s="9">
        <f t="shared" si="3"/>
        <v>0.26174496644295303</v>
      </c>
      <c r="X41" s="3">
        <v>635</v>
      </c>
      <c r="Y41" s="9">
        <f t="shared" si="4"/>
        <v>-0.35204081632653061</v>
      </c>
      <c r="Z41" s="3"/>
      <c r="AA41" s="9"/>
      <c r="AB41" s="3">
        <v>5</v>
      </c>
      <c r="AC41" s="9">
        <f t="shared" si="5"/>
        <v>0</v>
      </c>
      <c r="AD41" s="42">
        <v>41</v>
      </c>
      <c r="AE41" s="43">
        <f t="shared" si="6"/>
        <v>2.7272727272727271</v>
      </c>
      <c r="AF41" s="3"/>
      <c r="AG41" s="9"/>
    </row>
    <row r="42" spans="1:33" s="152" customFormat="1" ht="13.5" hidden="1" customHeight="1">
      <c r="A42" s="457" t="s">
        <v>43</v>
      </c>
      <c r="B42" s="2" t="s">
        <v>35</v>
      </c>
      <c r="C42" s="23">
        <v>1281530</v>
      </c>
      <c r="D42" s="24">
        <f t="shared" si="0"/>
        <v>0.30066670929384026</v>
      </c>
      <c r="E42" s="178"/>
      <c r="F42" s="23">
        <v>10223</v>
      </c>
      <c r="G42" s="135">
        <f t="shared" si="1"/>
        <v>0.13311904234094435</v>
      </c>
      <c r="H42" s="501">
        <v>35000</v>
      </c>
      <c r="I42" s="498">
        <f>(H42-H30)/H30</f>
        <v>0.12903225806451613</v>
      </c>
      <c r="J42" s="440">
        <v>124785</v>
      </c>
      <c r="K42" s="414">
        <f>(J42-J30)/J30</f>
        <v>0.12634039787702639</v>
      </c>
      <c r="L42" s="23"/>
      <c r="M42" s="24"/>
      <c r="N42" s="23"/>
      <c r="O42" s="24"/>
      <c r="P42" s="23"/>
      <c r="Q42" s="24"/>
      <c r="R42" s="23"/>
      <c r="S42" s="24"/>
      <c r="T42" s="23">
        <v>4896</v>
      </c>
      <c r="U42" s="24">
        <f t="shared" si="2"/>
        <v>0.62657807308970104</v>
      </c>
      <c r="V42" s="23">
        <v>465</v>
      </c>
      <c r="W42" s="24">
        <f t="shared" si="3"/>
        <v>0.52459016393442626</v>
      </c>
      <c r="X42" s="23">
        <v>1721</v>
      </c>
      <c r="Y42" s="24">
        <f>(X42-X30)/X30</f>
        <v>0.29107276819204803</v>
      </c>
      <c r="Z42" s="23"/>
      <c r="AA42" s="24"/>
      <c r="AB42" s="23">
        <v>10</v>
      </c>
      <c r="AC42" s="24">
        <f t="shared" si="5"/>
        <v>-0.2857142857142857</v>
      </c>
      <c r="AD42" s="3">
        <v>58</v>
      </c>
      <c r="AE42" s="26">
        <f t="shared" si="6"/>
        <v>1.9</v>
      </c>
      <c r="AF42" s="23"/>
      <c r="AG42" s="24"/>
    </row>
    <row r="43" spans="1:33" s="152" customFormat="1" ht="13.5" hidden="1" customHeight="1">
      <c r="A43" s="461"/>
      <c r="B43" s="15" t="s">
        <v>44</v>
      </c>
      <c r="C43" s="3">
        <v>982591</v>
      </c>
      <c r="D43" s="9">
        <f t="shared" si="0"/>
        <v>4.0223545304024153E-2</v>
      </c>
      <c r="E43" s="178"/>
      <c r="F43" s="3">
        <v>9053</v>
      </c>
      <c r="G43" s="134">
        <f t="shared" si="1"/>
        <v>0.1247359920487017</v>
      </c>
      <c r="H43" s="484"/>
      <c r="I43" s="481"/>
      <c r="J43" s="426"/>
      <c r="K43" s="415"/>
      <c r="L43" s="3"/>
      <c r="M43" s="9"/>
      <c r="N43" s="3"/>
      <c r="O43" s="9"/>
      <c r="P43" s="3"/>
      <c r="Q43" s="9"/>
      <c r="R43" s="3"/>
      <c r="S43" s="9"/>
      <c r="T43" s="3">
        <v>3606</v>
      </c>
      <c r="U43" s="9">
        <f t="shared" si="2"/>
        <v>0.13969658659924147</v>
      </c>
      <c r="V43" s="3">
        <v>383</v>
      </c>
      <c r="W43" s="9">
        <f t="shared" si="3"/>
        <v>-1.7948717948717947E-2</v>
      </c>
      <c r="X43" s="3">
        <v>1695</v>
      </c>
      <c r="Y43" s="9">
        <f t="shared" si="4"/>
        <v>0.27347858752817428</v>
      </c>
      <c r="Z43" s="3"/>
      <c r="AA43" s="9"/>
      <c r="AB43" s="3">
        <v>9</v>
      </c>
      <c r="AC43" s="9">
        <f t="shared" si="5"/>
        <v>0.125</v>
      </c>
      <c r="AD43" s="3">
        <v>29</v>
      </c>
      <c r="AE43" s="36">
        <f t="shared" si="6"/>
        <v>7.407407407407407E-2</v>
      </c>
      <c r="AF43" s="3"/>
      <c r="AG43" s="9"/>
    </row>
    <row r="44" spans="1:33" s="152" customFormat="1" ht="13.5" hidden="1" customHeight="1">
      <c r="A44" s="461"/>
      <c r="B44" s="15" t="s">
        <v>45</v>
      </c>
      <c r="C44" s="3">
        <v>1046055</v>
      </c>
      <c r="D44" s="9">
        <v>0.27</v>
      </c>
      <c r="E44" s="178"/>
      <c r="F44" s="3">
        <v>12161</v>
      </c>
      <c r="G44" s="134">
        <f t="shared" si="1"/>
        <v>0.20251161870859291</v>
      </c>
      <c r="H44" s="484"/>
      <c r="I44" s="481"/>
      <c r="J44" s="426"/>
      <c r="K44" s="415"/>
      <c r="L44" s="3"/>
      <c r="M44" s="9"/>
      <c r="N44" s="3"/>
      <c r="O44" s="9"/>
      <c r="P44" s="3"/>
      <c r="Q44" s="9"/>
      <c r="R44" s="3"/>
      <c r="S44" s="9"/>
      <c r="T44" s="3">
        <v>4403</v>
      </c>
      <c r="U44" s="9">
        <f t="shared" si="2"/>
        <v>0.40401785714285715</v>
      </c>
      <c r="V44" s="3">
        <v>485</v>
      </c>
      <c r="W44" s="9">
        <f t="shared" si="3"/>
        <v>0.20347394540942929</v>
      </c>
      <c r="X44" s="3">
        <v>1438</v>
      </c>
      <c r="Y44" s="9">
        <f t="shared" si="4"/>
        <v>-6.9060773480662981E-3</v>
      </c>
      <c r="Z44" s="3"/>
      <c r="AA44" s="9"/>
      <c r="AB44" s="3">
        <v>13</v>
      </c>
      <c r="AC44" s="9">
        <f t="shared" si="5"/>
        <v>0</v>
      </c>
      <c r="AD44" s="3">
        <v>55</v>
      </c>
      <c r="AE44" s="36">
        <f t="shared" si="6"/>
        <v>1.8947368421052631</v>
      </c>
      <c r="AF44" s="3"/>
      <c r="AG44" s="9"/>
    </row>
    <row r="45" spans="1:33" s="152" customFormat="1" ht="13.5" hidden="1" customHeight="1">
      <c r="A45" s="461"/>
      <c r="B45" s="15" t="s">
        <v>46</v>
      </c>
      <c r="C45" s="3">
        <v>989018</v>
      </c>
      <c r="D45" s="9">
        <v>0.157</v>
      </c>
      <c r="E45" s="178"/>
      <c r="F45" s="3">
        <v>12492</v>
      </c>
      <c r="G45" s="134">
        <f t="shared" si="1"/>
        <v>0.29598506069094305</v>
      </c>
      <c r="H45" s="482">
        <v>35000</v>
      </c>
      <c r="I45" s="481">
        <f>(H45-H33)/H33</f>
        <v>0.29629629629629628</v>
      </c>
      <c r="J45" s="426"/>
      <c r="K45" s="415"/>
      <c r="L45" s="3"/>
      <c r="M45" s="9"/>
      <c r="N45" s="3"/>
      <c r="O45" s="74"/>
      <c r="P45" s="3"/>
      <c r="Q45" s="9"/>
      <c r="R45" s="3"/>
      <c r="S45" s="9"/>
      <c r="T45" s="3">
        <v>7772</v>
      </c>
      <c r="U45" s="74">
        <f t="shared" si="2"/>
        <v>0.41309090909090906</v>
      </c>
      <c r="V45" s="3">
        <v>484</v>
      </c>
      <c r="W45" s="74">
        <f t="shared" si="3"/>
        <v>-0.20655737704918034</v>
      </c>
      <c r="X45" s="3">
        <v>1141</v>
      </c>
      <c r="Y45" s="74">
        <f t="shared" si="4"/>
        <v>0.4479695431472081</v>
      </c>
      <c r="Z45" s="3"/>
      <c r="AA45" s="74"/>
      <c r="AB45" s="3">
        <v>0</v>
      </c>
      <c r="AC45" s="74">
        <f t="shared" si="5"/>
        <v>-1</v>
      </c>
      <c r="AD45" s="5">
        <v>35</v>
      </c>
      <c r="AE45" s="36">
        <f t="shared" si="6"/>
        <v>0.45833333333333331</v>
      </c>
      <c r="AF45" s="3"/>
      <c r="AG45" s="9"/>
    </row>
    <row r="46" spans="1:33" s="152" customFormat="1" ht="13.5" hidden="1" customHeight="1">
      <c r="A46" s="461"/>
      <c r="B46" s="15" t="s">
        <v>47</v>
      </c>
      <c r="C46" s="3">
        <v>1107498</v>
      </c>
      <c r="D46" s="9">
        <v>0.222</v>
      </c>
      <c r="E46" s="178"/>
      <c r="F46" s="3">
        <v>14850</v>
      </c>
      <c r="G46" s="134">
        <f t="shared" si="1"/>
        <v>0.20233179499635656</v>
      </c>
      <c r="H46" s="482"/>
      <c r="I46" s="481"/>
      <c r="J46" s="426"/>
      <c r="K46" s="415"/>
      <c r="L46" s="3"/>
      <c r="M46" s="9"/>
      <c r="N46" s="3"/>
      <c r="O46" s="9"/>
      <c r="P46" s="3"/>
      <c r="Q46" s="9"/>
      <c r="R46" s="3"/>
      <c r="S46" s="9"/>
      <c r="T46" s="3">
        <v>11002</v>
      </c>
      <c r="U46" s="9">
        <f t="shared" si="2"/>
        <v>0.34878018879490008</v>
      </c>
      <c r="V46" s="3">
        <v>1466</v>
      </c>
      <c r="W46" s="9">
        <f t="shared" si="3"/>
        <v>-0.32255083179297594</v>
      </c>
      <c r="X46" s="3">
        <v>2077</v>
      </c>
      <c r="Y46" s="9">
        <f t="shared" si="4"/>
        <v>-0.14842148421484214</v>
      </c>
      <c r="Z46" s="3"/>
      <c r="AA46" s="9"/>
      <c r="AB46" s="3">
        <v>12</v>
      </c>
      <c r="AC46" s="9">
        <f t="shared" si="5"/>
        <v>-0.33333333333333331</v>
      </c>
      <c r="AD46" s="5">
        <v>43</v>
      </c>
      <c r="AE46" s="36">
        <f t="shared" si="6"/>
        <v>0.65384615384615385</v>
      </c>
      <c r="AF46" s="3"/>
      <c r="AG46" s="9"/>
    </row>
    <row r="47" spans="1:33" s="152" customFormat="1" ht="13.5" hidden="1" customHeight="1">
      <c r="A47" s="461"/>
      <c r="B47" s="15" t="s">
        <v>48</v>
      </c>
      <c r="C47" s="3">
        <v>1064076</v>
      </c>
      <c r="D47" s="9">
        <v>0.16200000000000001</v>
      </c>
      <c r="E47" s="178"/>
      <c r="F47" s="3">
        <v>15154</v>
      </c>
      <c r="G47" s="134">
        <f t="shared" si="1"/>
        <v>-0.23530302265731443</v>
      </c>
      <c r="H47" s="482"/>
      <c r="I47" s="481"/>
      <c r="J47" s="426"/>
      <c r="K47" s="415"/>
      <c r="L47" s="3"/>
      <c r="M47" s="9"/>
      <c r="N47" s="3"/>
      <c r="O47" s="74"/>
      <c r="P47" s="3"/>
      <c r="Q47" s="9"/>
      <c r="R47" s="3"/>
      <c r="S47" s="9"/>
      <c r="T47" s="3">
        <v>9417</v>
      </c>
      <c r="U47" s="74">
        <f t="shared" si="2"/>
        <v>0.22489594172736732</v>
      </c>
      <c r="V47" s="3">
        <v>2466</v>
      </c>
      <c r="W47" s="74">
        <f t="shared" si="3"/>
        <v>-0.20961538461538462</v>
      </c>
      <c r="X47" s="3">
        <v>3053</v>
      </c>
      <c r="Y47" s="74">
        <f t="shared" si="4"/>
        <v>0.1733282090699462</v>
      </c>
      <c r="Z47" s="3"/>
      <c r="AA47" s="74"/>
      <c r="AB47" s="3">
        <v>26</v>
      </c>
      <c r="AC47" s="74">
        <f t="shared" si="5"/>
        <v>0.8571428571428571</v>
      </c>
      <c r="AD47" s="5">
        <v>58</v>
      </c>
      <c r="AE47" s="36">
        <f t="shared" si="6"/>
        <v>0.38095238095238093</v>
      </c>
      <c r="AF47" s="3"/>
      <c r="AG47" s="9"/>
    </row>
    <row r="48" spans="1:33" s="152" customFormat="1" ht="13.5" hidden="1" customHeight="1">
      <c r="A48" s="461"/>
      <c r="B48" s="15" t="s">
        <v>51</v>
      </c>
      <c r="C48" s="3">
        <v>1297398</v>
      </c>
      <c r="D48" s="9">
        <v>0.18099999999999999</v>
      </c>
      <c r="E48" s="178"/>
      <c r="F48" s="3">
        <v>22821</v>
      </c>
      <c r="G48" s="134">
        <f t="shared" si="1"/>
        <v>8.3772617181934753E-2</v>
      </c>
      <c r="H48" s="482">
        <v>58000</v>
      </c>
      <c r="I48" s="481">
        <f>(H48-H36)/H36</f>
        <v>-0.20547945205479451</v>
      </c>
      <c r="J48" s="426"/>
      <c r="K48" s="415"/>
      <c r="L48" s="3"/>
      <c r="M48" s="9"/>
      <c r="N48" s="3"/>
      <c r="O48" s="9"/>
      <c r="P48" s="3"/>
      <c r="Q48" s="9"/>
      <c r="R48" s="3"/>
      <c r="S48" s="9"/>
      <c r="T48" s="3">
        <v>13465</v>
      </c>
      <c r="U48" s="9">
        <f t="shared" si="2"/>
        <v>-6.4197166469893742E-3</v>
      </c>
      <c r="V48" s="3">
        <v>1897</v>
      </c>
      <c r="W48" s="9">
        <f t="shared" si="3"/>
        <v>-0.2372336147969441</v>
      </c>
      <c r="X48" s="3">
        <v>2437</v>
      </c>
      <c r="Y48" s="9">
        <f t="shared" si="4"/>
        <v>-4.5436741088915003E-2</v>
      </c>
      <c r="Z48" s="3"/>
      <c r="AA48" s="9"/>
      <c r="AB48" s="3">
        <v>21</v>
      </c>
      <c r="AC48" s="9">
        <f t="shared" si="5"/>
        <v>0.90909090909090906</v>
      </c>
      <c r="AD48" s="5">
        <v>41</v>
      </c>
      <c r="AE48" s="36">
        <f t="shared" si="6"/>
        <v>-0.25454545454545452</v>
      </c>
      <c r="AF48" s="3"/>
      <c r="AG48" s="9"/>
    </row>
    <row r="49" spans="1:33" s="152" customFormat="1" ht="13.5" hidden="1" customHeight="1">
      <c r="A49" s="461"/>
      <c r="B49" s="15" t="s">
        <v>52</v>
      </c>
      <c r="C49" s="3">
        <v>1308664</v>
      </c>
      <c r="D49" s="9">
        <v>0.128</v>
      </c>
      <c r="E49" s="178"/>
      <c r="F49" s="3">
        <v>18402</v>
      </c>
      <c r="G49" s="134">
        <f t="shared" si="1"/>
        <v>4.503378953944006E-2</v>
      </c>
      <c r="H49" s="482"/>
      <c r="I49" s="481"/>
      <c r="J49" s="426"/>
      <c r="K49" s="415"/>
      <c r="L49" s="3"/>
      <c r="M49" s="9"/>
      <c r="N49" s="3"/>
      <c r="O49" s="74"/>
      <c r="P49" s="3"/>
      <c r="Q49" s="9"/>
      <c r="R49" s="3"/>
      <c r="S49" s="9"/>
      <c r="T49" s="3">
        <v>12723</v>
      </c>
      <c r="U49" s="74">
        <f t="shared" si="2"/>
        <v>7.8860340880183163E-2</v>
      </c>
      <c r="V49" s="3">
        <v>1917</v>
      </c>
      <c r="W49" s="74">
        <f t="shared" si="3"/>
        <v>-0.2107863318237958</v>
      </c>
      <c r="X49" s="3">
        <v>1804</v>
      </c>
      <c r="Y49" s="74">
        <f t="shared" si="4"/>
        <v>-0.44234930448222565</v>
      </c>
      <c r="Z49" s="3"/>
      <c r="AA49" s="74"/>
      <c r="AB49" s="3">
        <v>8</v>
      </c>
      <c r="AC49" s="74">
        <f t="shared" si="5"/>
        <v>-0.42857142857142855</v>
      </c>
      <c r="AD49" s="5">
        <v>89</v>
      </c>
      <c r="AE49" s="36">
        <f t="shared" si="6"/>
        <v>1.1707317073170731</v>
      </c>
      <c r="AF49" s="3"/>
      <c r="AG49" s="9"/>
    </row>
    <row r="50" spans="1:33" s="152" customFormat="1" ht="13.5" hidden="1" customHeight="1">
      <c r="A50" s="461"/>
      <c r="B50" s="15" t="s">
        <v>53</v>
      </c>
      <c r="C50" s="3">
        <v>1015650</v>
      </c>
      <c r="D50" s="9">
        <v>0.09</v>
      </c>
      <c r="E50" s="178"/>
      <c r="F50" s="3">
        <v>13571</v>
      </c>
      <c r="G50" s="134">
        <f t="shared" ref="G50:G81" si="7">(F50-F38)/F38</f>
        <v>6.3774564330737853E-3</v>
      </c>
      <c r="H50" s="482"/>
      <c r="I50" s="481"/>
      <c r="J50" s="426"/>
      <c r="K50" s="415"/>
      <c r="L50" s="3"/>
      <c r="M50" s="9"/>
      <c r="N50" s="3"/>
      <c r="O50" s="74"/>
      <c r="P50" s="3"/>
      <c r="Q50" s="9"/>
      <c r="R50" s="3"/>
      <c r="S50" s="9"/>
      <c r="T50" s="3">
        <v>7287</v>
      </c>
      <c r="U50" s="74">
        <f t="shared" ref="U50:U81" si="8">(T50-T38)/T38</f>
        <v>-0.1559133557280204</v>
      </c>
      <c r="V50" s="3">
        <v>1114</v>
      </c>
      <c r="W50" s="74">
        <f t="shared" si="3"/>
        <v>-0.45069033530571995</v>
      </c>
      <c r="X50" s="3">
        <v>1596</v>
      </c>
      <c r="Y50" s="74">
        <f t="shared" si="4"/>
        <v>-0.41193809874723653</v>
      </c>
      <c r="Z50" s="3"/>
      <c r="AA50" s="74"/>
      <c r="AB50" s="3">
        <v>33</v>
      </c>
      <c r="AC50" s="74">
        <f t="shared" si="5"/>
        <v>1.5384615384615385</v>
      </c>
      <c r="AD50" s="5">
        <v>70</v>
      </c>
      <c r="AE50" s="36">
        <f t="shared" si="6"/>
        <v>0.48936170212765956</v>
      </c>
      <c r="AF50" s="3"/>
      <c r="AG50" s="9"/>
    </row>
    <row r="51" spans="1:33" s="152" customFormat="1" ht="13.5" hidden="1" customHeight="1">
      <c r="A51" s="461"/>
      <c r="B51" s="15" t="s">
        <v>54</v>
      </c>
      <c r="C51" s="5">
        <v>1078092</v>
      </c>
      <c r="D51" s="9">
        <v>9.5000000000000001E-2</v>
      </c>
      <c r="E51" s="178"/>
      <c r="F51" s="5">
        <v>13109</v>
      </c>
      <c r="G51" s="134">
        <f t="shared" si="7"/>
        <v>-5.0094876660341557E-3</v>
      </c>
      <c r="H51" s="482">
        <v>29000</v>
      </c>
      <c r="I51" s="481">
        <f>(H51-H39)/H39</f>
        <v>0.31818181818181818</v>
      </c>
      <c r="J51" s="426"/>
      <c r="K51" s="415"/>
      <c r="L51" s="3"/>
      <c r="M51" s="9"/>
      <c r="N51" s="3"/>
      <c r="O51" s="9"/>
      <c r="P51" s="3"/>
      <c r="Q51" s="9"/>
      <c r="R51" s="3"/>
      <c r="S51" s="9"/>
      <c r="T51" s="3">
        <v>8973</v>
      </c>
      <c r="U51" s="9">
        <f t="shared" si="8"/>
        <v>4.7268907563025209E-2</v>
      </c>
      <c r="V51" s="3">
        <v>635</v>
      </c>
      <c r="W51" s="9">
        <f t="shared" si="3"/>
        <v>-0.19313850063532401</v>
      </c>
      <c r="X51" s="3">
        <v>954</v>
      </c>
      <c r="Y51" s="9">
        <f t="shared" si="4"/>
        <v>-0.702247191011236</v>
      </c>
      <c r="Z51" s="3"/>
      <c r="AA51" s="9"/>
      <c r="AB51" s="3">
        <v>3</v>
      </c>
      <c r="AC51" s="9">
        <f t="shared" si="5"/>
        <v>-0.25</v>
      </c>
      <c r="AD51" s="5">
        <v>61</v>
      </c>
      <c r="AE51" s="36">
        <f t="shared" si="6"/>
        <v>0.48780487804878048</v>
      </c>
      <c r="AF51" s="3"/>
      <c r="AG51" s="9"/>
    </row>
    <row r="52" spans="1:33" s="152" customFormat="1" ht="13.5" hidden="1" customHeight="1">
      <c r="A52" s="461"/>
      <c r="B52" s="15" t="s">
        <v>29</v>
      </c>
      <c r="C52" s="5">
        <v>1072557</v>
      </c>
      <c r="D52" s="9">
        <v>8.5999999999999993E-2</v>
      </c>
      <c r="E52" s="178"/>
      <c r="F52" s="5">
        <v>10482</v>
      </c>
      <c r="G52" s="134">
        <f t="shared" si="7"/>
        <v>-6.7279446602861743E-3</v>
      </c>
      <c r="H52" s="482"/>
      <c r="I52" s="481"/>
      <c r="J52" s="426"/>
      <c r="K52" s="415"/>
      <c r="L52" s="3"/>
      <c r="M52" s="9"/>
      <c r="N52" s="3"/>
      <c r="O52" s="9"/>
      <c r="P52" s="3"/>
      <c r="Q52" s="9"/>
      <c r="R52" s="3"/>
      <c r="S52" s="9"/>
      <c r="T52" s="3">
        <v>4244</v>
      </c>
      <c r="U52" s="9">
        <f t="shared" si="8"/>
        <v>8.7090163934426229E-2</v>
      </c>
      <c r="V52" s="3">
        <v>405</v>
      </c>
      <c r="W52" s="9">
        <f t="shared" si="3"/>
        <v>-0.27158273381294962</v>
      </c>
      <c r="X52" s="3">
        <v>971</v>
      </c>
      <c r="Y52" s="9">
        <f t="shared" si="4"/>
        <v>-0.24021909233176839</v>
      </c>
      <c r="Z52" s="3"/>
      <c r="AA52" s="9"/>
      <c r="AB52" s="3">
        <v>9</v>
      </c>
      <c r="AC52" s="9">
        <f t="shared" si="5"/>
        <v>-0.35714285714285715</v>
      </c>
      <c r="AD52" s="5">
        <v>48</v>
      </c>
      <c r="AE52" s="36">
        <f t="shared" si="6"/>
        <v>-2.0408163265306121E-2</v>
      </c>
      <c r="AF52" s="3"/>
      <c r="AG52" s="9"/>
    </row>
    <row r="53" spans="1:33" s="152" customFormat="1" ht="13.5" hidden="1" customHeight="1">
      <c r="A53" s="462"/>
      <c r="B53" s="41" t="s">
        <v>55</v>
      </c>
      <c r="C53" s="5">
        <v>1081848</v>
      </c>
      <c r="D53" s="9">
        <v>6.5000000000000002E-2</v>
      </c>
      <c r="E53" s="178"/>
      <c r="F53" s="5">
        <v>8550</v>
      </c>
      <c r="G53" s="134">
        <f t="shared" si="7"/>
        <v>0.14780507450664518</v>
      </c>
      <c r="H53" s="502"/>
      <c r="I53" s="483"/>
      <c r="J53" s="433"/>
      <c r="K53" s="416"/>
      <c r="L53" s="3"/>
      <c r="M53" s="9"/>
      <c r="N53" s="3"/>
      <c r="O53" s="9"/>
      <c r="P53" s="3"/>
      <c r="Q53" s="19"/>
      <c r="R53" s="3"/>
      <c r="S53" s="19"/>
      <c r="T53" s="3">
        <v>4771</v>
      </c>
      <c r="U53" s="9">
        <f t="shared" si="8"/>
        <v>0.40862119870091529</v>
      </c>
      <c r="V53" s="3">
        <v>442</v>
      </c>
      <c r="W53" s="9">
        <f t="shared" si="3"/>
        <v>0.17553191489361702</v>
      </c>
      <c r="X53" s="3">
        <v>688</v>
      </c>
      <c r="Y53" s="9">
        <f t="shared" si="4"/>
        <v>8.3464566929133857E-2</v>
      </c>
      <c r="Z53" s="3"/>
      <c r="AA53" s="9"/>
      <c r="AB53" s="3">
        <v>1</v>
      </c>
      <c r="AC53" s="9">
        <f t="shared" si="5"/>
        <v>-0.8</v>
      </c>
      <c r="AD53" s="42">
        <v>64</v>
      </c>
      <c r="AE53" s="43">
        <f t="shared" si="6"/>
        <v>0.56097560975609762</v>
      </c>
      <c r="AF53" s="3"/>
      <c r="AG53" s="19"/>
    </row>
    <row r="54" spans="1:33" s="152" customFormat="1" ht="13.5" hidden="1" customHeight="1">
      <c r="A54" s="457" t="s">
        <v>56</v>
      </c>
      <c r="B54" s="2" t="s">
        <v>35</v>
      </c>
      <c r="C54" s="25">
        <v>1322909</v>
      </c>
      <c r="D54" s="24">
        <v>3.2000000000000001E-2</v>
      </c>
      <c r="E54" s="178"/>
      <c r="F54" s="25">
        <v>11619</v>
      </c>
      <c r="G54" s="135">
        <f t="shared" si="7"/>
        <v>0.13655482735009292</v>
      </c>
      <c r="H54" s="482">
        <v>39000</v>
      </c>
      <c r="I54" s="481">
        <f>(H54-H42)/H42</f>
        <v>0.11428571428571428</v>
      </c>
      <c r="J54" s="440">
        <v>101304</v>
      </c>
      <c r="K54" s="414">
        <f>(J54-J42)/J42</f>
        <v>-0.18817165524702489</v>
      </c>
      <c r="L54" s="23"/>
      <c r="M54" s="24"/>
      <c r="N54" s="23">
        <v>126</v>
      </c>
      <c r="O54" s="24"/>
      <c r="P54" s="23"/>
      <c r="Q54" s="9"/>
      <c r="R54" s="23"/>
      <c r="S54" s="9"/>
      <c r="T54" s="23">
        <v>5425</v>
      </c>
      <c r="U54" s="24">
        <f t="shared" si="8"/>
        <v>0.10804738562091504</v>
      </c>
      <c r="V54" s="23">
        <v>519</v>
      </c>
      <c r="W54" s="24">
        <f t="shared" si="3"/>
        <v>0.11612903225806452</v>
      </c>
      <c r="X54" s="23">
        <v>1034</v>
      </c>
      <c r="Y54" s="24">
        <f>(X54-X42)/X42</f>
        <v>-0.3991865194654271</v>
      </c>
      <c r="Z54" s="23"/>
      <c r="AA54" s="24"/>
      <c r="AB54" s="23">
        <v>3</v>
      </c>
      <c r="AC54" s="24">
        <f t="shared" si="5"/>
        <v>-0.7</v>
      </c>
      <c r="AD54" s="3">
        <v>55</v>
      </c>
      <c r="AE54" s="26">
        <f t="shared" si="6"/>
        <v>-5.1724137931034482E-2</v>
      </c>
      <c r="AF54" s="23"/>
      <c r="AG54" s="9"/>
    </row>
    <row r="55" spans="1:33" s="152" customFormat="1" ht="13.5" hidden="1" customHeight="1">
      <c r="A55" s="461"/>
      <c r="B55" s="15" t="s">
        <v>36</v>
      </c>
      <c r="C55" s="5">
        <v>1132463</v>
      </c>
      <c r="D55" s="9">
        <v>0.153</v>
      </c>
      <c r="E55" s="178"/>
      <c r="F55" s="5">
        <v>10698</v>
      </c>
      <c r="G55" s="134">
        <f t="shared" si="7"/>
        <v>0.18170772119739312</v>
      </c>
      <c r="H55" s="482"/>
      <c r="I55" s="481"/>
      <c r="J55" s="426"/>
      <c r="K55" s="415"/>
      <c r="L55" s="3"/>
      <c r="M55" s="9"/>
      <c r="N55" s="3">
        <v>146</v>
      </c>
      <c r="O55" s="9"/>
      <c r="P55" s="3"/>
      <c r="Q55" s="9"/>
      <c r="R55" s="3"/>
      <c r="S55" s="9"/>
      <c r="T55" s="3">
        <v>3897</v>
      </c>
      <c r="U55" s="9">
        <f t="shared" si="8"/>
        <v>8.0698835274542427E-2</v>
      </c>
      <c r="V55" s="3">
        <v>318</v>
      </c>
      <c r="W55" s="9">
        <f t="shared" si="3"/>
        <v>-0.16971279373368145</v>
      </c>
      <c r="X55" s="3">
        <v>1087</v>
      </c>
      <c r="Y55" s="9">
        <f t="shared" si="4"/>
        <v>-0.35870206489675516</v>
      </c>
      <c r="Z55" s="3"/>
      <c r="AA55" s="9"/>
      <c r="AB55" s="3">
        <v>4</v>
      </c>
      <c r="AC55" s="9">
        <f t="shared" si="5"/>
        <v>-0.55555555555555558</v>
      </c>
      <c r="AD55" s="3">
        <v>36</v>
      </c>
      <c r="AE55" s="36">
        <f t="shared" si="6"/>
        <v>0.2413793103448276</v>
      </c>
      <c r="AF55" s="3"/>
      <c r="AG55" s="9"/>
    </row>
    <row r="56" spans="1:33" s="152" customFormat="1" ht="13.5" hidden="1" customHeight="1">
      <c r="A56" s="461"/>
      <c r="B56" s="15" t="s">
        <v>21</v>
      </c>
      <c r="C56" s="5">
        <v>983589</v>
      </c>
      <c r="D56" s="9">
        <v>-6.0299999999999999E-2</v>
      </c>
      <c r="E56" s="178"/>
      <c r="F56" s="5">
        <v>9628</v>
      </c>
      <c r="G56" s="134">
        <f t="shared" si="7"/>
        <v>-0.20828879204012829</v>
      </c>
      <c r="H56" s="482"/>
      <c r="I56" s="481"/>
      <c r="J56" s="426"/>
      <c r="K56" s="415"/>
      <c r="L56" s="3"/>
      <c r="M56" s="9"/>
      <c r="N56" s="3">
        <v>182</v>
      </c>
      <c r="O56" s="9"/>
      <c r="P56" s="3"/>
      <c r="Q56" s="9"/>
      <c r="R56" s="3"/>
      <c r="S56" s="9"/>
      <c r="T56" s="3">
        <v>4623</v>
      </c>
      <c r="U56" s="9">
        <f t="shared" si="8"/>
        <v>4.9965932318873495E-2</v>
      </c>
      <c r="V56" s="3">
        <v>446</v>
      </c>
      <c r="W56" s="9">
        <f t="shared" si="3"/>
        <v>-8.0412371134020624E-2</v>
      </c>
      <c r="X56" s="3">
        <v>1184</v>
      </c>
      <c r="Y56" s="9">
        <f t="shared" si="4"/>
        <v>-0.17663421418636996</v>
      </c>
      <c r="Z56" s="3"/>
      <c r="AA56" s="9"/>
      <c r="AB56" s="3">
        <v>7</v>
      </c>
      <c r="AC56" s="9">
        <f t="shared" si="5"/>
        <v>-0.46153846153846156</v>
      </c>
      <c r="AD56" s="3">
        <v>41</v>
      </c>
      <c r="AE56" s="36">
        <f t="shared" si="6"/>
        <v>-0.25454545454545452</v>
      </c>
      <c r="AF56" s="3"/>
      <c r="AG56" s="9"/>
    </row>
    <row r="57" spans="1:33" s="152" customFormat="1" ht="13.5" hidden="1" customHeight="1">
      <c r="A57" s="461"/>
      <c r="B57" s="15" t="s">
        <v>22</v>
      </c>
      <c r="C57" s="5">
        <v>1026750</v>
      </c>
      <c r="D57" s="9">
        <v>3.7999999999999999E-2</v>
      </c>
      <c r="E57" s="178"/>
      <c r="F57" s="5">
        <v>11900</v>
      </c>
      <c r="G57" s="134">
        <f t="shared" si="7"/>
        <v>-4.7390329811079088E-2</v>
      </c>
      <c r="H57" s="482">
        <v>31000</v>
      </c>
      <c r="I57" s="481">
        <f>(H57-H45)/H45</f>
        <v>-0.11428571428571428</v>
      </c>
      <c r="J57" s="426"/>
      <c r="K57" s="415"/>
      <c r="L57" s="3"/>
      <c r="M57" s="9"/>
      <c r="N57" s="3">
        <v>719</v>
      </c>
      <c r="O57" s="74"/>
      <c r="P57" s="3"/>
      <c r="Q57" s="9"/>
      <c r="R57" s="3"/>
      <c r="S57" s="9"/>
      <c r="T57" s="3">
        <v>7621</v>
      </c>
      <c r="U57" s="9">
        <f t="shared" si="8"/>
        <v>-1.9428718476582604E-2</v>
      </c>
      <c r="V57" s="3">
        <v>683</v>
      </c>
      <c r="W57" s="9">
        <f t="shared" si="3"/>
        <v>0.41115702479338845</v>
      </c>
      <c r="X57" s="3">
        <v>1443</v>
      </c>
      <c r="Y57" s="74">
        <f t="shared" si="4"/>
        <v>0.26468010517090274</v>
      </c>
      <c r="Z57" s="3"/>
      <c r="AA57" s="74"/>
      <c r="AB57" s="3">
        <v>18</v>
      </c>
      <c r="AC57" s="74"/>
      <c r="AD57" s="5">
        <v>33</v>
      </c>
      <c r="AE57" s="36">
        <f t="shared" si="6"/>
        <v>-5.7142857142857141E-2</v>
      </c>
      <c r="AF57" s="3"/>
      <c r="AG57" s="9"/>
    </row>
    <row r="58" spans="1:33" s="152" customFormat="1" ht="13.5" hidden="1" customHeight="1">
      <c r="A58" s="461"/>
      <c r="B58" s="15" t="s">
        <v>23</v>
      </c>
      <c r="C58" s="5">
        <v>1099977</v>
      </c>
      <c r="D58" s="9">
        <v>-7.0000000000000001E-3</v>
      </c>
      <c r="E58" s="178"/>
      <c r="F58" s="5">
        <v>12783</v>
      </c>
      <c r="G58" s="134">
        <f t="shared" si="7"/>
        <v>-0.1391919191919192</v>
      </c>
      <c r="H58" s="482"/>
      <c r="I58" s="481"/>
      <c r="J58" s="426"/>
      <c r="K58" s="415"/>
      <c r="L58" s="3"/>
      <c r="M58" s="9"/>
      <c r="N58" s="3">
        <v>1265</v>
      </c>
      <c r="O58" s="9"/>
      <c r="P58" s="3"/>
      <c r="Q58" s="9"/>
      <c r="R58" s="3"/>
      <c r="S58" s="9"/>
      <c r="T58" s="3">
        <v>11019</v>
      </c>
      <c r="U58" s="9">
        <f t="shared" si="8"/>
        <v>1.5451736047991274E-3</v>
      </c>
      <c r="V58" s="3">
        <v>1009</v>
      </c>
      <c r="W58" s="9">
        <f t="shared" si="3"/>
        <v>-0.31173260572987721</v>
      </c>
      <c r="X58" s="3">
        <v>2679</v>
      </c>
      <c r="Y58" s="9">
        <f t="shared" si="4"/>
        <v>0.28984111699566684</v>
      </c>
      <c r="Z58" s="3"/>
      <c r="AA58" s="9"/>
      <c r="AB58" s="3">
        <v>8</v>
      </c>
      <c r="AC58" s="9">
        <f t="shared" si="5"/>
        <v>-0.33333333333333331</v>
      </c>
      <c r="AD58" s="5">
        <v>66</v>
      </c>
      <c r="AE58" s="36">
        <f t="shared" si="6"/>
        <v>0.53488372093023251</v>
      </c>
      <c r="AF58" s="3"/>
      <c r="AG58" s="9"/>
    </row>
    <row r="59" spans="1:33" s="152" customFormat="1" ht="13.5" hidden="1" customHeight="1">
      <c r="A59" s="461"/>
      <c r="B59" s="15" t="s">
        <v>24</v>
      </c>
      <c r="C59" s="5">
        <v>1004715</v>
      </c>
      <c r="D59" s="9">
        <v>-5.6000000000000001E-2</v>
      </c>
      <c r="E59" s="178"/>
      <c r="F59" s="5">
        <v>13987</v>
      </c>
      <c r="G59" s="134">
        <f t="shared" si="7"/>
        <v>-7.7009370463244034E-2</v>
      </c>
      <c r="H59" s="482"/>
      <c r="I59" s="481"/>
      <c r="J59" s="426"/>
      <c r="K59" s="415"/>
      <c r="L59" s="3"/>
      <c r="M59" s="9"/>
      <c r="N59" s="3">
        <v>1016</v>
      </c>
      <c r="O59" s="74"/>
      <c r="P59" s="3"/>
      <c r="Q59" s="9"/>
      <c r="R59" s="3"/>
      <c r="S59" s="9"/>
      <c r="T59" s="3">
        <v>6884</v>
      </c>
      <c r="U59" s="74">
        <f t="shared" si="8"/>
        <v>-0.26898162896888606</v>
      </c>
      <c r="V59" s="3">
        <v>1758</v>
      </c>
      <c r="W59" s="74">
        <f t="shared" si="3"/>
        <v>-0.28710462287104621</v>
      </c>
      <c r="X59" s="3">
        <v>3697</v>
      </c>
      <c r="Y59" s="74">
        <f t="shared" si="4"/>
        <v>0.21094005895840157</v>
      </c>
      <c r="Z59" s="3"/>
      <c r="AA59" s="74"/>
      <c r="AB59" s="3">
        <v>16</v>
      </c>
      <c r="AC59" s="74">
        <f t="shared" si="5"/>
        <v>-0.38461538461538464</v>
      </c>
      <c r="AD59" s="5">
        <v>55</v>
      </c>
      <c r="AE59" s="36">
        <f t="shared" si="6"/>
        <v>-5.1724137931034482E-2</v>
      </c>
      <c r="AF59" s="3"/>
      <c r="AG59" s="9"/>
    </row>
    <row r="60" spans="1:33" s="152" customFormat="1" ht="13.5" hidden="1" customHeight="1">
      <c r="A60" s="461"/>
      <c r="B60" s="15" t="s">
        <v>25</v>
      </c>
      <c r="C60" s="5">
        <v>1135843</v>
      </c>
      <c r="D60" s="9">
        <v>-0.125</v>
      </c>
      <c r="E60" s="178"/>
      <c r="F60" s="5">
        <v>18442</v>
      </c>
      <c r="G60" s="134">
        <f t="shared" si="7"/>
        <v>-0.19188466763069104</v>
      </c>
      <c r="H60" s="482">
        <v>40000</v>
      </c>
      <c r="I60" s="481">
        <f>(H60-H48)/H48</f>
        <v>-0.31034482758620691</v>
      </c>
      <c r="J60" s="426"/>
      <c r="K60" s="415"/>
      <c r="L60" s="3"/>
      <c r="M60" s="9"/>
      <c r="N60" s="3">
        <v>786</v>
      </c>
      <c r="O60" s="9"/>
      <c r="P60" s="3"/>
      <c r="Q60" s="9"/>
      <c r="R60" s="3"/>
      <c r="S60" s="9"/>
      <c r="T60" s="3">
        <v>11288</v>
      </c>
      <c r="U60" s="9">
        <f t="shared" si="8"/>
        <v>-0.1616784255477163</v>
      </c>
      <c r="V60" s="3">
        <v>1393</v>
      </c>
      <c r="W60" s="9">
        <f t="shared" si="3"/>
        <v>-0.26568265682656828</v>
      </c>
      <c r="X60" s="3">
        <v>2495</v>
      </c>
      <c r="Y60" s="9">
        <f t="shared" si="4"/>
        <v>2.3799753795650389E-2</v>
      </c>
      <c r="Z60" s="3"/>
      <c r="AA60" s="9"/>
      <c r="AB60" s="3">
        <v>13</v>
      </c>
      <c r="AC60" s="9">
        <f t="shared" si="5"/>
        <v>-0.38095238095238093</v>
      </c>
      <c r="AD60" s="5">
        <v>59</v>
      </c>
      <c r="AE60" s="36">
        <f t="shared" si="6"/>
        <v>0.43902439024390244</v>
      </c>
      <c r="AF60" s="3"/>
      <c r="AG60" s="9"/>
    </row>
    <row r="61" spans="1:33" s="152" customFormat="1" ht="13.5" hidden="1" customHeight="1">
      <c r="A61" s="461"/>
      <c r="B61" s="15" t="s">
        <v>26</v>
      </c>
      <c r="C61" s="5">
        <v>1163809</v>
      </c>
      <c r="D61" s="9">
        <v>-0.111</v>
      </c>
      <c r="E61" s="178"/>
      <c r="F61" s="5">
        <v>18254</v>
      </c>
      <c r="G61" s="134">
        <f t="shared" si="7"/>
        <v>-8.0426040647755687E-3</v>
      </c>
      <c r="H61" s="482"/>
      <c r="I61" s="481"/>
      <c r="J61" s="426"/>
      <c r="K61" s="415"/>
      <c r="L61" s="3"/>
      <c r="M61" s="9"/>
      <c r="N61" s="3">
        <v>739</v>
      </c>
      <c r="O61" s="74"/>
      <c r="P61" s="3"/>
      <c r="Q61" s="9"/>
      <c r="R61" s="3"/>
      <c r="S61" s="9"/>
      <c r="T61" s="3">
        <v>11611</v>
      </c>
      <c r="U61" s="74">
        <f t="shared" si="8"/>
        <v>-8.7400770258586807E-2</v>
      </c>
      <c r="V61" s="3">
        <v>1957</v>
      </c>
      <c r="W61" s="74">
        <f t="shared" si="3"/>
        <v>2.0865936358894107E-2</v>
      </c>
      <c r="X61" s="3">
        <v>2751</v>
      </c>
      <c r="Y61" s="74">
        <f t="shared" si="4"/>
        <v>0.52494456762749442</v>
      </c>
      <c r="Z61" s="3"/>
      <c r="AA61" s="74"/>
      <c r="AB61" s="3">
        <v>20</v>
      </c>
      <c r="AC61" s="74">
        <f t="shared" si="5"/>
        <v>1.5</v>
      </c>
      <c r="AD61" s="5">
        <v>41</v>
      </c>
      <c r="AE61" s="36">
        <f t="shared" si="6"/>
        <v>-0.5393258426966292</v>
      </c>
      <c r="AF61" s="3"/>
      <c r="AG61" s="9"/>
    </row>
    <row r="62" spans="1:33" s="152" customFormat="1" ht="13.5" hidden="1" customHeight="1">
      <c r="A62" s="461"/>
      <c r="B62" s="15" t="s">
        <v>27</v>
      </c>
      <c r="C62" s="5">
        <v>818747</v>
      </c>
      <c r="D62" s="9">
        <v>-0.19400000000000001</v>
      </c>
      <c r="E62" s="178"/>
      <c r="F62" s="5">
        <v>12100</v>
      </c>
      <c r="G62" s="134">
        <f t="shared" si="7"/>
        <v>-0.10839289661778793</v>
      </c>
      <c r="H62" s="482"/>
      <c r="I62" s="481"/>
      <c r="J62" s="426"/>
      <c r="K62" s="415"/>
      <c r="L62" s="3"/>
      <c r="M62" s="9"/>
      <c r="N62" s="3">
        <v>498</v>
      </c>
      <c r="O62" s="74"/>
      <c r="P62" s="3"/>
      <c r="Q62" s="9"/>
      <c r="R62" s="3"/>
      <c r="S62" s="9"/>
      <c r="T62" s="3">
        <v>6411</v>
      </c>
      <c r="U62" s="74">
        <f t="shared" si="8"/>
        <v>-0.12021407986825854</v>
      </c>
      <c r="V62" s="3">
        <v>933</v>
      </c>
      <c r="W62" s="74">
        <f t="shared" si="3"/>
        <v>-0.16247755834829444</v>
      </c>
      <c r="X62" s="3">
        <v>2025</v>
      </c>
      <c r="Y62" s="74">
        <f t="shared" si="4"/>
        <v>0.26879699248120303</v>
      </c>
      <c r="Z62" s="3"/>
      <c r="AA62" s="74"/>
      <c r="AB62" s="3">
        <v>16</v>
      </c>
      <c r="AC62" s="74">
        <f t="shared" si="5"/>
        <v>-0.51515151515151514</v>
      </c>
      <c r="AD62" s="5">
        <v>29</v>
      </c>
      <c r="AE62" s="36">
        <f t="shared" si="6"/>
        <v>-0.58571428571428574</v>
      </c>
      <c r="AF62" s="3"/>
      <c r="AG62" s="9"/>
    </row>
    <row r="63" spans="1:33" s="152" customFormat="1" ht="13.5" hidden="1" customHeight="1">
      <c r="A63" s="461"/>
      <c r="B63" s="15" t="s">
        <v>28</v>
      </c>
      <c r="C63" s="5">
        <v>932716</v>
      </c>
      <c r="D63" s="9">
        <v>-0.13500000000000001</v>
      </c>
      <c r="E63" s="178"/>
      <c r="F63" s="5">
        <v>11040</v>
      </c>
      <c r="G63" s="134">
        <f t="shared" si="7"/>
        <v>-0.15783049813105501</v>
      </c>
      <c r="H63" s="482">
        <v>18000</v>
      </c>
      <c r="I63" s="481">
        <f>(H63-H51)/H51</f>
        <v>-0.37931034482758619</v>
      </c>
      <c r="J63" s="426"/>
      <c r="K63" s="415"/>
      <c r="L63" s="3"/>
      <c r="M63" s="9"/>
      <c r="N63" s="3">
        <v>602</v>
      </c>
      <c r="O63" s="9"/>
      <c r="P63" s="3"/>
      <c r="Q63" s="9"/>
      <c r="R63" s="3"/>
      <c r="S63" s="9"/>
      <c r="T63" s="3">
        <v>6009</v>
      </c>
      <c r="U63" s="9">
        <f t="shared" si="8"/>
        <v>-0.33032430625208958</v>
      </c>
      <c r="V63" s="3">
        <v>624</v>
      </c>
      <c r="W63" s="9">
        <f t="shared" si="3"/>
        <v>-1.7322834645669291E-2</v>
      </c>
      <c r="X63" s="3">
        <v>1067</v>
      </c>
      <c r="Y63" s="9">
        <f t="shared" si="4"/>
        <v>0.11844863731656184</v>
      </c>
      <c r="Z63" s="3"/>
      <c r="AA63" s="9"/>
      <c r="AB63" s="3">
        <v>11</v>
      </c>
      <c r="AC63" s="9">
        <f t="shared" si="5"/>
        <v>2.6666666666666665</v>
      </c>
      <c r="AD63" s="5">
        <v>44</v>
      </c>
      <c r="AE63" s="36">
        <f t="shared" si="6"/>
        <v>-0.27868852459016391</v>
      </c>
      <c r="AF63" s="3"/>
      <c r="AG63" s="9"/>
    </row>
    <row r="64" spans="1:33" s="152" customFormat="1" ht="13.5" hidden="1" customHeight="1">
      <c r="A64" s="461"/>
      <c r="B64" s="15" t="s">
        <v>29</v>
      </c>
      <c r="C64" s="5">
        <v>707012</v>
      </c>
      <c r="D64" s="9">
        <v>-0.34079999999999999</v>
      </c>
      <c r="E64" s="178"/>
      <c r="F64" s="5">
        <v>7802</v>
      </c>
      <c r="G64" s="134">
        <f t="shared" si="7"/>
        <v>-0.25567639763403932</v>
      </c>
      <c r="H64" s="482"/>
      <c r="I64" s="481"/>
      <c r="J64" s="426"/>
      <c r="K64" s="415"/>
      <c r="L64" s="3"/>
      <c r="M64" s="9"/>
      <c r="N64" s="3">
        <v>197</v>
      </c>
      <c r="O64" s="9"/>
      <c r="P64" s="3"/>
      <c r="Q64" s="9"/>
      <c r="R64" s="3"/>
      <c r="S64" s="9"/>
      <c r="T64" s="3">
        <v>2581</v>
      </c>
      <c r="U64" s="9">
        <f t="shared" si="8"/>
        <v>-0.39184731385485388</v>
      </c>
      <c r="V64" s="3">
        <v>495</v>
      </c>
      <c r="W64" s="9">
        <f t="shared" si="3"/>
        <v>0.22222222222222221</v>
      </c>
      <c r="X64" s="3">
        <v>665</v>
      </c>
      <c r="Y64" s="9">
        <f t="shared" si="4"/>
        <v>-0.31513903192584963</v>
      </c>
      <c r="Z64" s="3"/>
      <c r="AA64" s="9"/>
      <c r="AB64" s="3">
        <v>17</v>
      </c>
      <c r="AC64" s="9">
        <f t="shared" si="5"/>
        <v>0.88888888888888884</v>
      </c>
      <c r="AD64" s="5">
        <v>30</v>
      </c>
      <c r="AE64" s="36">
        <f t="shared" si="6"/>
        <v>-0.375</v>
      </c>
      <c r="AF64" s="3"/>
      <c r="AG64" s="9"/>
    </row>
    <row r="65" spans="1:33" s="152" customFormat="1" ht="13.5" hidden="1" customHeight="1">
      <c r="A65" s="462"/>
      <c r="B65" s="41" t="s">
        <v>30</v>
      </c>
      <c r="C65" s="42">
        <v>667564</v>
      </c>
      <c r="D65" s="19">
        <v>-0.38290000000000002</v>
      </c>
      <c r="E65" s="178"/>
      <c r="F65" s="42">
        <v>5186</v>
      </c>
      <c r="G65" s="136">
        <f t="shared" si="7"/>
        <v>-0.39345029239766083</v>
      </c>
      <c r="H65" s="502"/>
      <c r="I65" s="481"/>
      <c r="J65" s="433"/>
      <c r="K65" s="416"/>
      <c r="L65" s="3"/>
      <c r="M65" s="19"/>
      <c r="N65" s="3">
        <v>91</v>
      </c>
      <c r="O65" s="9"/>
      <c r="P65" s="3"/>
      <c r="Q65" s="19"/>
      <c r="R65" s="3"/>
      <c r="S65" s="19"/>
      <c r="T65" s="3">
        <v>2559</v>
      </c>
      <c r="U65" s="9">
        <f t="shared" si="8"/>
        <v>-0.46363445818486693</v>
      </c>
      <c r="V65" s="3">
        <v>467</v>
      </c>
      <c r="W65" s="9">
        <f t="shared" si="3"/>
        <v>5.6561085972850679E-2</v>
      </c>
      <c r="X65" s="3">
        <v>471</v>
      </c>
      <c r="Y65" s="9">
        <f t="shared" si="4"/>
        <v>-0.31540697674418605</v>
      </c>
      <c r="Z65" s="3"/>
      <c r="AA65" s="9"/>
      <c r="AB65" s="3">
        <v>3</v>
      </c>
      <c r="AC65" s="9">
        <f t="shared" si="5"/>
        <v>2</v>
      </c>
      <c r="AD65" s="42">
        <v>47</v>
      </c>
      <c r="AE65" s="43">
        <f t="shared" si="6"/>
        <v>-0.265625</v>
      </c>
      <c r="AF65" s="3"/>
      <c r="AG65" s="19"/>
    </row>
    <row r="66" spans="1:33" s="152" customFormat="1" ht="13.5" hidden="1" customHeight="1">
      <c r="A66" s="457" t="s">
        <v>58</v>
      </c>
      <c r="B66" s="2" t="s">
        <v>35</v>
      </c>
      <c r="C66" s="25">
        <v>812901</v>
      </c>
      <c r="D66" s="24">
        <v>-0.38600000000000001</v>
      </c>
      <c r="E66" s="178"/>
      <c r="F66" s="25">
        <v>7544</v>
      </c>
      <c r="G66" s="134">
        <f t="shared" si="7"/>
        <v>-0.35071865048627249</v>
      </c>
      <c r="H66" s="486">
        <v>14000</v>
      </c>
      <c r="I66" s="498">
        <f>(H66-H54)/H54</f>
        <v>-0.64102564102564108</v>
      </c>
      <c r="J66" s="440">
        <v>84166</v>
      </c>
      <c r="K66" s="414">
        <f>(J66-J54)/J54</f>
        <v>-0.16917397141277737</v>
      </c>
      <c r="L66" s="23"/>
      <c r="M66" s="9"/>
      <c r="N66" s="23">
        <v>186</v>
      </c>
      <c r="O66" s="24"/>
      <c r="P66" s="23"/>
      <c r="Q66" s="9"/>
      <c r="R66" s="23"/>
      <c r="S66" s="9"/>
      <c r="T66" s="23">
        <v>3193</v>
      </c>
      <c r="U66" s="24">
        <f t="shared" si="8"/>
        <v>-0.41142857142857142</v>
      </c>
      <c r="V66" s="23">
        <v>294</v>
      </c>
      <c r="W66" s="24">
        <f t="shared" si="3"/>
        <v>-0.43352601156069365</v>
      </c>
      <c r="X66" s="23">
        <v>487</v>
      </c>
      <c r="Y66" s="24">
        <f>(X66-X54)/X54</f>
        <v>-0.52901353965183751</v>
      </c>
      <c r="Z66" s="23"/>
      <c r="AA66" s="24"/>
      <c r="AB66" s="23">
        <v>4</v>
      </c>
      <c r="AC66" s="24">
        <f t="shared" si="5"/>
        <v>0.33333333333333331</v>
      </c>
      <c r="AD66" s="29">
        <v>29</v>
      </c>
      <c r="AE66" s="26">
        <f t="shared" si="6"/>
        <v>-0.47272727272727272</v>
      </c>
      <c r="AF66" s="23"/>
      <c r="AG66" s="9"/>
    </row>
    <row r="67" spans="1:33" s="152" customFormat="1" ht="13.5" hidden="1" customHeight="1">
      <c r="A67" s="461"/>
      <c r="B67" s="15" t="s">
        <v>36</v>
      </c>
      <c r="C67" s="5">
        <v>753642</v>
      </c>
      <c r="D67" s="9">
        <v>-0.33500000000000002</v>
      </c>
      <c r="E67" s="178"/>
      <c r="F67" s="5">
        <v>8796</v>
      </c>
      <c r="G67" s="134">
        <f t="shared" si="7"/>
        <v>-0.17779024116657319</v>
      </c>
      <c r="H67" s="482"/>
      <c r="I67" s="481"/>
      <c r="J67" s="426"/>
      <c r="K67" s="415"/>
      <c r="L67" s="3"/>
      <c r="M67" s="9"/>
      <c r="N67" s="3">
        <v>82</v>
      </c>
      <c r="O67" s="9"/>
      <c r="P67" s="3"/>
      <c r="Q67" s="9"/>
      <c r="R67" s="3"/>
      <c r="S67" s="9"/>
      <c r="T67" s="3">
        <v>2342</v>
      </c>
      <c r="U67" s="9">
        <f t="shared" si="8"/>
        <v>-0.39902489094175009</v>
      </c>
      <c r="V67" s="3">
        <v>299</v>
      </c>
      <c r="W67" s="9">
        <f t="shared" si="3"/>
        <v>-5.9748427672955975E-2</v>
      </c>
      <c r="X67" s="3">
        <v>762</v>
      </c>
      <c r="Y67" s="9">
        <f t="shared" si="4"/>
        <v>-0.29898804047838085</v>
      </c>
      <c r="Z67" s="3"/>
      <c r="AA67" s="9"/>
      <c r="AB67" s="3">
        <v>0</v>
      </c>
      <c r="AC67" s="9">
        <f t="shared" si="5"/>
        <v>-1</v>
      </c>
      <c r="AD67" s="38">
        <v>19</v>
      </c>
      <c r="AE67" s="36">
        <f t="shared" si="6"/>
        <v>-0.47222222222222221</v>
      </c>
      <c r="AF67" s="3"/>
      <c r="AG67" s="9"/>
    </row>
    <row r="68" spans="1:33" s="152" customFormat="1" ht="13.5" hidden="1" customHeight="1">
      <c r="A68" s="461"/>
      <c r="B68" s="15" t="s">
        <v>21</v>
      </c>
      <c r="C68" s="5">
        <v>702043</v>
      </c>
      <c r="D68" s="9">
        <v>-0.28599999999999998</v>
      </c>
      <c r="E68" s="178"/>
      <c r="F68" s="5">
        <v>8202</v>
      </c>
      <c r="G68" s="134">
        <f t="shared" si="7"/>
        <v>-0.14810968009970918</v>
      </c>
      <c r="H68" s="482"/>
      <c r="I68" s="481"/>
      <c r="J68" s="426"/>
      <c r="K68" s="415"/>
      <c r="L68" s="3"/>
      <c r="M68" s="9"/>
      <c r="N68" s="3">
        <v>275</v>
      </c>
      <c r="O68" s="9"/>
      <c r="P68" s="3"/>
      <c r="Q68" s="9"/>
      <c r="R68" s="3"/>
      <c r="S68" s="9"/>
      <c r="T68" s="3">
        <v>3431</v>
      </c>
      <c r="U68" s="9">
        <f t="shared" si="8"/>
        <v>-0.25784122863941161</v>
      </c>
      <c r="V68" s="3">
        <v>365</v>
      </c>
      <c r="W68" s="9">
        <f t="shared" si="3"/>
        <v>-0.18161434977578475</v>
      </c>
      <c r="X68" s="3">
        <v>843</v>
      </c>
      <c r="Y68" s="9">
        <f t="shared" si="4"/>
        <v>-0.28800675675675674</v>
      </c>
      <c r="Z68" s="3"/>
      <c r="AA68" s="9"/>
      <c r="AB68" s="3">
        <v>0</v>
      </c>
      <c r="AC68" s="9">
        <f t="shared" si="5"/>
        <v>-1</v>
      </c>
      <c r="AD68" s="38">
        <v>35</v>
      </c>
      <c r="AE68" s="36">
        <f t="shared" si="6"/>
        <v>-0.14634146341463414</v>
      </c>
      <c r="AF68" s="3"/>
      <c r="AG68" s="9"/>
    </row>
    <row r="69" spans="1:33" s="152" customFormat="1" ht="13.5" hidden="1" customHeight="1">
      <c r="A69" s="461"/>
      <c r="B69" s="15" t="s">
        <v>22</v>
      </c>
      <c r="C69" s="5">
        <v>734681</v>
      </c>
      <c r="D69" s="9">
        <v>-0.28399999999999997</v>
      </c>
      <c r="E69" s="178"/>
      <c r="F69" s="5">
        <v>9369</v>
      </c>
      <c r="G69" s="134">
        <f t="shared" si="7"/>
        <v>-0.21268907563025211</v>
      </c>
      <c r="H69" s="482">
        <v>15000</v>
      </c>
      <c r="I69" s="481">
        <f>(H69-H57)/H57</f>
        <v>-0.5161290322580645</v>
      </c>
      <c r="J69" s="426"/>
      <c r="K69" s="415"/>
      <c r="L69" s="3"/>
      <c r="M69" s="9"/>
      <c r="N69" s="3">
        <v>654</v>
      </c>
      <c r="O69" s="74"/>
      <c r="P69" s="3"/>
      <c r="Q69" s="9"/>
      <c r="R69" s="3"/>
      <c r="S69" s="9"/>
      <c r="T69" s="3">
        <v>5907</v>
      </c>
      <c r="U69" s="74">
        <f t="shared" si="8"/>
        <v>-0.22490486812754232</v>
      </c>
      <c r="V69" s="3">
        <v>436</v>
      </c>
      <c r="W69" s="74">
        <f t="shared" si="3"/>
        <v>-0.36163982430453878</v>
      </c>
      <c r="X69" s="3">
        <v>890</v>
      </c>
      <c r="Y69" s="74">
        <f t="shared" si="4"/>
        <v>-0.38322938322938321</v>
      </c>
      <c r="Z69" s="3"/>
      <c r="AA69" s="74"/>
      <c r="AB69" s="3">
        <v>0</v>
      </c>
      <c r="AC69" s="74">
        <f t="shared" si="5"/>
        <v>-1</v>
      </c>
      <c r="AD69" s="38">
        <v>61</v>
      </c>
      <c r="AE69" s="36">
        <f t="shared" si="6"/>
        <v>0.84848484848484851</v>
      </c>
      <c r="AF69" s="3"/>
      <c r="AG69" s="9"/>
    </row>
    <row r="70" spans="1:33" s="152" customFormat="1" ht="13.5" hidden="1" customHeight="1">
      <c r="A70" s="461"/>
      <c r="B70" s="15" t="s">
        <v>23</v>
      </c>
      <c r="C70" s="5">
        <v>737396</v>
      </c>
      <c r="D70" s="9">
        <v>-0.33</v>
      </c>
      <c r="E70" s="178"/>
      <c r="F70" s="5">
        <v>10510</v>
      </c>
      <c r="G70" s="134">
        <f t="shared" si="7"/>
        <v>-0.17781428459673004</v>
      </c>
      <c r="H70" s="482"/>
      <c r="I70" s="481"/>
      <c r="J70" s="426"/>
      <c r="K70" s="415"/>
      <c r="L70" s="3"/>
      <c r="M70" s="9"/>
      <c r="N70" s="3">
        <v>663</v>
      </c>
      <c r="O70" s="9"/>
      <c r="P70" s="3"/>
      <c r="Q70" s="9"/>
      <c r="R70" s="3"/>
      <c r="S70" s="9"/>
      <c r="T70" s="3">
        <v>5739</v>
      </c>
      <c r="U70" s="9">
        <f t="shared" si="8"/>
        <v>-0.47917233868772119</v>
      </c>
      <c r="V70" s="3">
        <v>684</v>
      </c>
      <c r="W70" s="9">
        <f t="shared" si="3"/>
        <v>-0.32210109018830524</v>
      </c>
      <c r="X70" s="3">
        <v>1529</v>
      </c>
      <c r="Y70" s="9">
        <f t="shared" si="4"/>
        <v>-0.42926465098917505</v>
      </c>
      <c r="Z70" s="3"/>
      <c r="AA70" s="9"/>
      <c r="AB70" s="3">
        <v>1</v>
      </c>
      <c r="AC70" s="9">
        <f t="shared" si="5"/>
        <v>-0.875</v>
      </c>
      <c r="AD70" s="38">
        <v>56</v>
      </c>
      <c r="AE70" s="36">
        <f t="shared" si="6"/>
        <v>-0.15151515151515152</v>
      </c>
      <c r="AF70" s="3"/>
      <c r="AG70" s="9"/>
    </row>
    <row r="71" spans="1:33" s="152" customFormat="1" ht="13.5" hidden="1" customHeight="1">
      <c r="A71" s="461"/>
      <c r="B71" s="15" t="s">
        <v>24</v>
      </c>
      <c r="C71" s="5">
        <v>731137</v>
      </c>
      <c r="D71" s="9">
        <v>-0.27200000000000002</v>
      </c>
      <c r="E71" s="178"/>
      <c r="F71" s="5">
        <v>11316</v>
      </c>
      <c r="G71" s="134">
        <f t="shared" si="7"/>
        <v>-0.19096303710588403</v>
      </c>
      <c r="H71" s="482"/>
      <c r="I71" s="481"/>
      <c r="J71" s="426"/>
      <c r="K71" s="415"/>
      <c r="L71" s="3"/>
      <c r="M71" s="9"/>
      <c r="N71" s="3">
        <v>497</v>
      </c>
      <c r="O71" s="74"/>
      <c r="P71" s="3"/>
      <c r="Q71" s="9"/>
      <c r="R71" s="3"/>
      <c r="S71" s="9"/>
      <c r="T71" s="3">
        <v>5821</v>
      </c>
      <c r="U71" s="74">
        <f t="shared" si="8"/>
        <v>-0.15441603718768157</v>
      </c>
      <c r="V71" s="3">
        <v>820</v>
      </c>
      <c r="W71" s="74">
        <f t="shared" si="3"/>
        <v>-0.53356086461888508</v>
      </c>
      <c r="X71" s="3">
        <v>3307</v>
      </c>
      <c r="Y71" s="74">
        <f t="shared" si="4"/>
        <v>-0.10549093859886394</v>
      </c>
      <c r="Z71" s="3"/>
      <c r="AA71" s="74"/>
      <c r="AB71" s="3">
        <v>10</v>
      </c>
      <c r="AC71" s="74">
        <f t="shared" si="5"/>
        <v>-0.375</v>
      </c>
      <c r="AD71" s="38">
        <v>88</v>
      </c>
      <c r="AE71" s="36">
        <f t="shared" si="6"/>
        <v>0.6</v>
      </c>
      <c r="AF71" s="3"/>
      <c r="AG71" s="9"/>
    </row>
    <row r="72" spans="1:33" s="152" customFormat="1" ht="13.5" hidden="1" customHeight="1">
      <c r="A72" s="461"/>
      <c r="B72" s="15" t="s">
        <v>25</v>
      </c>
      <c r="C72" s="5">
        <v>996695</v>
      </c>
      <c r="D72" s="9">
        <v>-0.123</v>
      </c>
      <c r="E72" s="178"/>
      <c r="F72" s="5">
        <v>17371</v>
      </c>
      <c r="G72" s="134">
        <f t="shared" si="7"/>
        <v>-5.8073961609369916E-2</v>
      </c>
      <c r="H72" s="482">
        <v>32000</v>
      </c>
      <c r="I72" s="481">
        <f>(H72-H60)/H60</f>
        <v>-0.2</v>
      </c>
      <c r="J72" s="426"/>
      <c r="K72" s="415"/>
      <c r="L72" s="3"/>
      <c r="M72" s="9"/>
      <c r="N72" s="3">
        <v>522</v>
      </c>
      <c r="O72" s="9"/>
      <c r="P72" s="3"/>
      <c r="Q72" s="9"/>
      <c r="R72" s="3"/>
      <c r="S72" s="9"/>
      <c r="T72" s="3">
        <v>9854</v>
      </c>
      <c r="U72" s="9">
        <f t="shared" si="8"/>
        <v>-0.1270375620127569</v>
      </c>
      <c r="V72" s="3">
        <v>1034</v>
      </c>
      <c r="W72" s="9">
        <f t="shared" si="3"/>
        <v>-0.25771715721464467</v>
      </c>
      <c r="X72" s="3">
        <v>3247</v>
      </c>
      <c r="Y72" s="9">
        <f t="shared" si="4"/>
        <v>0.30140280561122246</v>
      </c>
      <c r="Z72" s="3"/>
      <c r="AA72" s="9"/>
      <c r="AB72" s="3">
        <v>18</v>
      </c>
      <c r="AC72" s="9">
        <f t="shared" si="5"/>
        <v>0.38461538461538464</v>
      </c>
      <c r="AD72" s="38">
        <v>56</v>
      </c>
      <c r="AE72" s="36">
        <f t="shared" si="6"/>
        <v>-5.0847457627118647E-2</v>
      </c>
      <c r="AF72" s="3"/>
      <c r="AG72" s="9"/>
    </row>
    <row r="73" spans="1:33" s="152" customFormat="1" ht="13.5" hidden="1" customHeight="1">
      <c r="A73" s="461"/>
      <c r="B73" s="15" t="s">
        <v>26</v>
      </c>
      <c r="C73" s="5">
        <v>1041527</v>
      </c>
      <c r="D73" s="9">
        <v>-0.105</v>
      </c>
      <c r="E73" s="178"/>
      <c r="F73" s="5">
        <v>14652</v>
      </c>
      <c r="G73" s="134">
        <f t="shared" si="7"/>
        <v>-0.19732661334502027</v>
      </c>
      <c r="H73" s="482"/>
      <c r="I73" s="481"/>
      <c r="J73" s="426"/>
      <c r="K73" s="415"/>
      <c r="L73" s="3"/>
      <c r="M73" s="9"/>
      <c r="N73" s="3">
        <v>697</v>
      </c>
      <c r="O73" s="74"/>
      <c r="P73" s="3"/>
      <c r="Q73" s="9"/>
      <c r="R73" s="3"/>
      <c r="S73" s="9"/>
      <c r="T73" s="3">
        <v>8401</v>
      </c>
      <c r="U73" s="74">
        <f t="shared" si="8"/>
        <v>-0.27646197571268627</v>
      </c>
      <c r="V73" s="3">
        <v>1382</v>
      </c>
      <c r="W73" s="74">
        <f t="shared" si="3"/>
        <v>-0.29381706693919263</v>
      </c>
      <c r="X73" s="3">
        <v>2768</v>
      </c>
      <c r="Y73" s="74">
        <f t="shared" si="4"/>
        <v>6.1795710650672485E-3</v>
      </c>
      <c r="Z73" s="3"/>
      <c r="AA73" s="74"/>
      <c r="AB73" s="3">
        <v>14</v>
      </c>
      <c r="AC73" s="74">
        <f t="shared" si="5"/>
        <v>-0.3</v>
      </c>
      <c r="AD73" s="38">
        <v>51</v>
      </c>
      <c r="AE73" s="36">
        <f t="shared" si="6"/>
        <v>0.24390243902439024</v>
      </c>
      <c r="AF73" s="3"/>
      <c r="AG73" s="9"/>
    </row>
    <row r="74" spans="1:33" s="152" customFormat="1" ht="13.5" hidden="1" customHeight="1">
      <c r="A74" s="461"/>
      <c r="B74" s="15" t="s">
        <v>27</v>
      </c>
      <c r="C74" s="5">
        <v>658487</v>
      </c>
      <c r="D74" s="9">
        <v>-0.19600000000000001</v>
      </c>
      <c r="E74" s="178"/>
      <c r="F74" s="5">
        <v>12197</v>
      </c>
      <c r="G74" s="134">
        <f t="shared" si="7"/>
        <v>8.0165289256198344E-3</v>
      </c>
      <c r="H74" s="482"/>
      <c r="I74" s="481"/>
      <c r="J74" s="426"/>
      <c r="K74" s="415"/>
      <c r="L74" s="3"/>
      <c r="M74" s="9"/>
      <c r="N74" s="3">
        <v>614</v>
      </c>
      <c r="O74" s="74"/>
      <c r="P74" s="3"/>
      <c r="Q74" s="9"/>
      <c r="R74" s="3"/>
      <c r="S74" s="9"/>
      <c r="T74" s="3">
        <v>4890</v>
      </c>
      <c r="U74" s="74">
        <f t="shared" si="8"/>
        <v>-0.23724847917641553</v>
      </c>
      <c r="V74" s="3">
        <v>943</v>
      </c>
      <c r="W74" s="74">
        <f t="shared" si="3"/>
        <v>1.0718113612004287E-2</v>
      </c>
      <c r="X74" s="3">
        <v>2140</v>
      </c>
      <c r="Y74" s="74">
        <f t="shared" si="4"/>
        <v>5.6790123456790124E-2</v>
      </c>
      <c r="Z74" s="3"/>
      <c r="AA74" s="74"/>
      <c r="AB74" s="3">
        <v>6</v>
      </c>
      <c r="AC74" s="74">
        <f t="shared" si="5"/>
        <v>-0.625</v>
      </c>
      <c r="AD74" s="38">
        <v>79</v>
      </c>
      <c r="AE74" s="36">
        <f t="shared" si="6"/>
        <v>1.7241379310344827</v>
      </c>
      <c r="AF74" s="3"/>
      <c r="AG74" s="9"/>
    </row>
    <row r="75" spans="1:33" s="152" customFormat="1" ht="13.5" hidden="1" customHeight="1">
      <c r="A75" s="461"/>
      <c r="B75" s="15" t="s">
        <v>28</v>
      </c>
      <c r="C75" s="5">
        <v>714880</v>
      </c>
      <c r="D75" s="9">
        <v>-0.23400000000000001</v>
      </c>
      <c r="E75" s="178"/>
      <c r="F75" s="5">
        <v>9846</v>
      </c>
      <c r="G75" s="134">
        <f t="shared" si="7"/>
        <v>-0.10815217391304348</v>
      </c>
      <c r="H75" s="482">
        <v>15000</v>
      </c>
      <c r="I75" s="481">
        <f>(H75-H63)/H63</f>
        <v>-0.16666666666666666</v>
      </c>
      <c r="J75" s="426"/>
      <c r="K75" s="415"/>
      <c r="L75" s="3"/>
      <c r="M75" s="9"/>
      <c r="N75" s="3">
        <v>433</v>
      </c>
      <c r="O75" s="9"/>
      <c r="P75" s="3"/>
      <c r="Q75" s="9"/>
      <c r="R75" s="3"/>
      <c r="S75" s="9"/>
      <c r="T75" s="3">
        <v>3798</v>
      </c>
      <c r="U75" s="9">
        <f t="shared" si="8"/>
        <v>-0.36794807788317524</v>
      </c>
      <c r="V75" s="3">
        <v>468</v>
      </c>
      <c r="W75" s="9">
        <f t="shared" si="3"/>
        <v>-0.25</v>
      </c>
      <c r="X75" s="3">
        <v>1122</v>
      </c>
      <c r="Y75" s="9">
        <f t="shared" si="4"/>
        <v>5.1546391752577317E-2</v>
      </c>
      <c r="Z75" s="3"/>
      <c r="AA75" s="9"/>
      <c r="AB75" s="3">
        <v>8</v>
      </c>
      <c r="AC75" s="9">
        <f t="shared" si="5"/>
        <v>-0.27272727272727271</v>
      </c>
      <c r="AD75" s="38">
        <v>88</v>
      </c>
      <c r="AE75" s="36">
        <f t="shared" si="6"/>
        <v>1</v>
      </c>
      <c r="AF75" s="3"/>
      <c r="AG75" s="9"/>
    </row>
    <row r="76" spans="1:33" s="152" customFormat="1" ht="13.5" hidden="1" customHeight="1">
      <c r="A76" s="461"/>
      <c r="B76" s="15" t="s">
        <v>29</v>
      </c>
      <c r="C76" s="5">
        <v>721940</v>
      </c>
      <c r="D76" s="9">
        <v>2.1000000000000001E-2</v>
      </c>
      <c r="E76" s="178"/>
      <c r="F76" s="5">
        <v>8466</v>
      </c>
      <c r="G76" s="134">
        <f t="shared" si="7"/>
        <v>8.5106382978723402E-2</v>
      </c>
      <c r="H76" s="482"/>
      <c r="I76" s="481"/>
      <c r="J76" s="426"/>
      <c r="K76" s="415"/>
      <c r="L76" s="3"/>
      <c r="M76" s="9"/>
      <c r="N76" s="3">
        <v>327</v>
      </c>
      <c r="O76" s="9"/>
      <c r="P76" s="3"/>
      <c r="Q76" s="9"/>
      <c r="R76" s="3"/>
      <c r="S76" s="9"/>
      <c r="T76" s="3">
        <v>2523</v>
      </c>
      <c r="U76" s="9">
        <f t="shared" si="8"/>
        <v>-2.247191011235955E-2</v>
      </c>
      <c r="V76" s="3">
        <v>393</v>
      </c>
      <c r="W76" s="9">
        <f t="shared" si="3"/>
        <v>-0.20606060606060606</v>
      </c>
      <c r="X76" s="3">
        <v>1015</v>
      </c>
      <c r="Y76" s="9">
        <f t="shared" si="4"/>
        <v>0.52631578947368418</v>
      </c>
      <c r="Z76" s="3"/>
      <c r="AA76" s="9"/>
      <c r="AB76" s="3">
        <v>15</v>
      </c>
      <c r="AC76" s="9">
        <f t="shared" si="5"/>
        <v>-0.11764705882352941</v>
      </c>
      <c r="AD76" s="38">
        <v>50</v>
      </c>
      <c r="AE76" s="36">
        <f t="shared" si="6"/>
        <v>0.66666666666666663</v>
      </c>
      <c r="AF76" s="3"/>
      <c r="AG76" s="9"/>
    </row>
    <row r="77" spans="1:33" s="152" customFormat="1" ht="13.5" hidden="1" customHeight="1">
      <c r="A77" s="462"/>
      <c r="B77" s="41" t="s">
        <v>30</v>
      </c>
      <c r="C77" s="5">
        <v>888782</v>
      </c>
      <c r="D77" s="9">
        <v>0.33100000000000002</v>
      </c>
      <c r="E77" s="178"/>
      <c r="F77" s="5">
        <v>6827</v>
      </c>
      <c r="G77" s="136">
        <f t="shared" si="7"/>
        <v>0.31642884689548784</v>
      </c>
      <c r="H77" s="502"/>
      <c r="I77" s="483"/>
      <c r="J77" s="433"/>
      <c r="K77" s="416"/>
      <c r="L77" s="3"/>
      <c r="M77" s="19"/>
      <c r="N77" s="3">
        <v>170</v>
      </c>
      <c r="O77" s="9"/>
      <c r="P77" s="3"/>
      <c r="Q77" s="9"/>
      <c r="R77" s="3"/>
      <c r="S77" s="9"/>
      <c r="T77" s="3">
        <v>3452</v>
      </c>
      <c r="U77" s="9">
        <f t="shared" si="8"/>
        <v>0.34896443923407583</v>
      </c>
      <c r="V77" s="3">
        <v>332</v>
      </c>
      <c r="W77" s="9">
        <f t="shared" si="3"/>
        <v>-0.28907922912205569</v>
      </c>
      <c r="X77" s="3">
        <v>1043</v>
      </c>
      <c r="Y77" s="9">
        <f t="shared" si="4"/>
        <v>1.2144373673036093</v>
      </c>
      <c r="Z77" s="3"/>
      <c r="AA77" s="9"/>
      <c r="AB77" s="3">
        <v>0</v>
      </c>
      <c r="AC77" s="9">
        <f t="shared" si="5"/>
        <v>-1</v>
      </c>
      <c r="AD77" s="46">
        <v>50</v>
      </c>
      <c r="AE77" s="43">
        <f t="shared" si="6"/>
        <v>6.3829787234042548E-2</v>
      </c>
      <c r="AF77" s="3"/>
      <c r="AG77" s="9"/>
    </row>
    <row r="78" spans="1:33" s="152" customFormat="1" ht="13.5" hidden="1" customHeight="1">
      <c r="A78" s="457" t="s">
        <v>59</v>
      </c>
      <c r="B78" s="62" t="s">
        <v>35</v>
      </c>
      <c r="C78" s="23">
        <v>1118261</v>
      </c>
      <c r="D78" s="24">
        <v>0.376</v>
      </c>
      <c r="E78" s="178"/>
      <c r="F78" s="25">
        <v>8944</v>
      </c>
      <c r="G78" s="134">
        <f t="shared" si="7"/>
        <v>0.1855779427359491</v>
      </c>
      <c r="H78" s="482">
        <v>21000</v>
      </c>
      <c r="I78" s="481">
        <f>(H78-H66)/H66</f>
        <v>0.5</v>
      </c>
      <c r="J78" s="440">
        <v>90622</v>
      </c>
      <c r="K78" s="414">
        <f>(J78-J66)/J66</f>
        <v>7.6705558063826243E-2</v>
      </c>
      <c r="L78" s="23">
        <v>12</v>
      </c>
      <c r="M78" s="9"/>
      <c r="N78" s="23">
        <v>76</v>
      </c>
      <c r="O78" s="24"/>
      <c r="P78" s="23"/>
      <c r="Q78" s="24"/>
      <c r="R78" s="23"/>
      <c r="S78" s="24"/>
      <c r="T78" s="23">
        <v>3304</v>
      </c>
      <c r="U78" s="24">
        <f t="shared" si="8"/>
        <v>3.4763545255245852E-2</v>
      </c>
      <c r="V78" s="23">
        <v>407</v>
      </c>
      <c r="W78" s="24">
        <f t="shared" si="3"/>
        <v>0.38435374149659862</v>
      </c>
      <c r="X78" s="23">
        <v>844</v>
      </c>
      <c r="Y78" s="24">
        <f>(X78-X66)/X66</f>
        <v>0.73305954825462016</v>
      </c>
      <c r="Z78" s="23"/>
      <c r="AA78" s="24"/>
      <c r="AB78" s="23">
        <v>3</v>
      </c>
      <c r="AC78" s="24">
        <f t="shared" si="5"/>
        <v>-0.25</v>
      </c>
      <c r="AD78" s="29">
        <v>27</v>
      </c>
      <c r="AE78" s="24">
        <f t="shared" ref="AE78:AE124" si="9">(AD78/AD66-1)</f>
        <v>-6.8965517241379337E-2</v>
      </c>
      <c r="AF78" s="23"/>
      <c r="AG78" s="24"/>
    </row>
    <row r="79" spans="1:33" s="152" customFormat="1" ht="13.5" hidden="1" customHeight="1">
      <c r="A79" s="461"/>
      <c r="B79" s="62" t="s">
        <v>36</v>
      </c>
      <c r="C79" s="3">
        <v>908103</v>
      </c>
      <c r="D79" s="9">
        <v>0.20499999999999999</v>
      </c>
      <c r="E79" s="178"/>
      <c r="F79" s="5">
        <v>9363</v>
      </c>
      <c r="G79" s="134">
        <f t="shared" si="7"/>
        <v>6.4461118690313776E-2</v>
      </c>
      <c r="H79" s="482"/>
      <c r="I79" s="481"/>
      <c r="J79" s="426"/>
      <c r="K79" s="415"/>
      <c r="L79" s="3">
        <v>4</v>
      </c>
      <c r="M79" s="9"/>
      <c r="N79" s="3">
        <v>164</v>
      </c>
      <c r="O79" s="9"/>
      <c r="P79" s="3"/>
      <c r="Q79" s="9"/>
      <c r="R79" s="3"/>
      <c r="S79" s="9"/>
      <c r="T79" s="3">
        <v>2629</v>
      </c>
      <c r="U79" s="9">
        <f t="shared" si="8"/>
        <v>0.12254483347566182</v>
      </c>
      <c r="V79" s="3">
        <v>372</v>
      </c>
      <c r="W79" s="9">
        <f t="shared" si="3"/>
        <v>0.24414715719063546</v>
      </c>
      <c r="X79" s="3">
        <v>1691</v>
      </c>
      <c r="Y79" s="9">
        <f t="shared" si="4"/>
        <v>1.2191601049868765</v>
      </c>
      <c r="Z79" s="3"/>
      <c r="AA79" s="9"/>
      <c r="AB79" s="3">
        <v>2</v>
      </c>
      <c r="AC79" s="9"/>
      <c r="AD79" s="38">
        <v>32</v>
      </c>
      <c r="AE79" s="9">
        <f t="shared" si="9"/>
        <v>0.68421052631578938</v>
      </c>
      <c r="AF79" s="3"/>
      <c r="AG79" s="9"/>
    </row>
    <row r="80" spans="1:33" s="152" customFormat="1" ht="13.5" hidden="1" customHeight="1">
      <c r="A80" s="461"/>
      <c r="B80" s="62" t="s">
        <v>45</v>
      </c>
      <c r="C80" s="3">
        <v>950185</v>
      </c>
      <c r="D80" s="9">
        <v>0.35299999999999998</v>
      </c>
      <c r="E80" s="178"/>
      <c r="F80" s="5">
        <v>9024</v>
      </c>
      <c r="G80" s="134">
        <f t="shared" si="7"/>
        <v>0.10021945866861741</v>
      </c>
      <c r="H80" s="482"/>
      <c r="I80" s="481"/>
      <c r="J80" s="426"/>
      <c r="K80" s="415"/>
      <c r="L80" s="3">
        <v>3</v>
      </c>
      <c r="M80" s="9"/>
      <c r="N80" s="3">
        <v>205</v>
      </c>
      <c r="O80" s="9"/>
      <c r="P80" s="3"/>
      <c r="Q80" s="9"/>
      <c r="R80" s="3"/>
      <c r="S80" s="9"/>
      <c r="T80" s="3">
        <v>3240</v>
      </c>
      <c r="U80" s="9">
        <f t="shared" si="8"/>
        <v>-5.5668901194986888E-2</v>
      </c>
      <c r="V80" s="3">
        <v>486</v>
      </c>
      <c r="W80" s="9">
        <f t="shared" si="3"/>
        <v>0.33150684931506852</v>
      </c>
      <c r="X80" s="3">
        <v>1756</v>
      </c>
      <c r="Y80" s="9">
        <f t="shared" si="4"/>
        <v>1.0830367734282325</v>
      </c>
      <c r="Z80" s="3"/>
      <c r="AA80" s="9"/>
      <c r="AB80" s="3">
        <v>4</v>
      </c>
      <c r="AC80" s="9"/>
      <c r="AD80" s="38">
        <v>72</v>
      </c>
      <c r="AE80" s="9">
        <f t="shared" si="9"/>
        <v>1.0571428571428569</v>
      </c>
      <c r="AF80" s="3"/>
      <c r="AG80" s="9"/>
    </row>
    <row r="81" spans="1:33" s="152" customFormat="1" ht="13.5" hidden="1" customHeight="1">
      <c r="A81" s="461"/>
      <c r="B81" s="62" t="s">
        <v>46</v>
      </c>
      <c r="C81" s="3">
        <v>935904</v>
      </c>
      <c r="D81" s="9">
        <v>0.27400000000000002</v>
      </c>
      <c r="E81" s="178"/>
      <c r="F81" s="5">
        <v>10826</v>
      </c>
      <c r="G81" s="134">
        <f t="shared" si="7"/>
        <v>0.15551286156473476</v>
      </c>
      <c r="H81" s="482">
        <v>23000</v>
      </c>
      <c r="I81" s="481">
        <f>(H81-H69)/H69</f>
        <v>0.53333333333333333</v>
      </c>
      <c r="J81" s="426"/>
      <c r="K81" s="415"/>
      <c r="L81" s="3">
        <v>5</v>
      </c>
      <c r="M81" s="9"/>
      <c r="N81" s="3">
        <v>403</v>
      </c>
      <c r="O81" s="74"/>
      <c r="P81" s="3"/>
      <c r="Q81" s="9"/>
      <c r="R81" s="3"/>
      <c r="S81" s="9"/>
      <c r="T81" s="3">
        <v>5686</v>
      </c>
      <c r="U81" s="9">
        <f t="shared" si="8"/>
        <v>-3.7413238530556968E-2</v>
      </c>
      <c r="V81" s="3">
        <v>502</v>
      </c>
      <c r="W81" s="9">
        <f t="shared" si="3"/>
        <v>0.15137614678899083</v>
      </c>
      <c r="X81" s="3">
        <v>985</v>
      </c>
      <c r="Y81" s="74">
        <f t="shared" si="4"/>
        <v>0.10674157303370786</v>
      </c>
      <c r="Z81" s="3"/>
      <c r="AA81" s="74"/>
      <c r="AB81" s="3">
        <v>3</v>
      </c>
      <c r="AC81" s="74"/>
      <c r="AD81" s="38">
        <v>76</v>
      </c>
      <c r="AE81" s="9">
        <f t="shared" si="9"/>
        <v>0.24590163934426235</v>
      </c>
      <c r="AF81" s="3"/>
      <c r="AG81" s="9"/>
    </row>
    <row r="82" spans="1:33" s="152" customFormat="1" ht="13.5" hidden="1" customHeight="1">
      <c r="A82" s="461"/>
      <c r="B82" s="62" t="s">
        <v>47</v>
      </c>
      <c r="C82" s="3">
        <v>1023815</v>
      </c>
      <c r="D82" s="9">
        <v>0.38800000000000001</v>
      </c>
      <c r="E82" s="178"/>
      <c r="F82" s="5">
        <v>12859</v>
      </c>
      <c r="G82" s="134">
        <f>(F82-F70)/F70</f>
        <v>0.22350142721217889</v>
      </c>
      <c r="H82" s="482"/>
      <c r="I82" s="481"/>
      <c r="J82" s="426"/>
      <c r="K82" s="415"/>
      <c r="L82" s="3">
        <v>245</v>
      </c>
      <c r="M82" s="9"/>
      <c r="N82" s="3">
        <v>1305</v>
      </c>
      <c r="O82" s="9"/>
      <c r="P82" s="3"/>
      <c r="Q82" s="9"/>
      <c r="R82" s="3"/>
      <c r="S82" s="9"/>
      <c r="T82" s="3">
        <v>8783</v>
      </c>
      <c r="U82" s="9">
        <f t="shared" ref="U82:U89" si="10">(T82-T70)/T70</f>
        <v>0.53040599407562294</v>
      </c>
      <c r="V82" s="3">
        <v>876</v>
      </c>
      <c r="W82" s="9">
        <f t="shared" ref="W82:W125" si="11">(V82-V70)/V70</f>
        <v>0.2807017543859649</v>
      </c>
      <c r="X82" s="3">
        <v>3321</v>
      </c>
      <c r="Y82" s="9">
        <f t="shared" ref="Y82:Y89" si="12">(X82-X70)/X70</f>
        <v>1.172007848266841</v>
      </c>
      <c r="Z82" s="3"/>
      <c r="AA82" s="9"/>
      <c r="AB82" s="3">
        <v>14</v>
      </c>
      <c r="AC82" s="9">
        <f t="shared" si="5"/>
        <v>13</v>
      </c>
      <c r="AD82" s="38">
        <v>118</v>
      </c>
      <c r="AE82" s="9">
        <f t="shared" si="9"/>
        <v>1.1071428571428572</v>
      </c>
      <c r="AF82" s="3"/>
      <c r="AG82" s="9"/>
    </row>
    <row r="83" spans="1:33" s="152" customFormat="1" ht="13.5" hidden="1" customHeight="1">
      <c r="A83" s="461"/>
      <c r="B83" s="62" t="s">
        <v>48</v>
      </c>
      <c r="C83" s="3">
        <v>997597</v>
      </c>
      <c r="D83" s="9">
        <v>0.36399999999999999</v>
      </c>
      <c r="E83" s="178"/>
      <c r="F83" s="5">
        <v>13963</v>
      </c>
      <c r="G83" s="134">
        <f>(F83-F71)/F71</f>
        <v>0.23391657829621776</v>
      </c>
      <c r="H83" s="482"/>
      <c r="I83" s="481"/>
      <c r="J83" s="426"/>
      <c r="K83" s="415"/>
      <c r="L83" s="3">
        <v>26</v>
      </c>
      <c r="M83" s="9"/>
      <c r="N83" s="3">
        <v>613</v>
      </c>
      <c r="O83" s="74"/>
      <c r="P83" s="3"/>
      <c r="Q83" s="9"/>
      <c r="R83" s="3"/>
      <c r="S83" s="9"/>
      <c r="T83" s="3">
        <v>8048</v>
      </c>
      <c r="U83" s="74">
        <f t="shared" si="10"/>
        <v>0.3825803126610548</v>
      </c>
      <c r="V83" s="3">
        <v>1398</v>
      </c>
      <c r="W83" s="74">
        <f t="shared" si="11"/>
        <v>0.70487804878048776</v>
      </c>
      <c r="X83" s="3">
        <v>4672</v>
      </c>
      <c r="Y83" s="74">
        <f t="shared" si="12"/>
        <v>0.41276081040217721</v>
      </c>
      <c r="Z83" s="3"/>
      <c r="AA83" s="74"/>
      <c r="AB83" s="3">
        <v>13</v>
      </c>
      <c r="AC83" s="74">
        <f t="shared" ref="AC83:AC129" si="13">(AB83-AB71)/AB71</f>
        <v>0.3</v>
      </c>
      <c r="AD83" s="38">
        <v>78</v>
      </c>
      <c r="AE83" s="9">
        <f t="shared" si="9"/>
        <v>-0.11363636363636365</v>
      </c>
      <c r="AF83" s="3"/>
      <c r="AG83" s="9"/>
    </row>
    <row r="84" spans="1:33" s="152" customFormat="1" ht="13.5" hidden="1" customHeight="1">
      <c r="A84" s="461"/>
      <c r="B84" s="62" t="s">
        <v>51</v>
      </c>
      <c r="C84" s="3">
        <v>1223723</v>
      </c>
      <c r="D84" s="9">
        <v>0.22800000000000001</v>
      </c>
      <c r="E84" s="178"/>
      <c r="F84" s="5">
        <v>18324</v>
      </c>
      <c r="G84" s="134">
        <f>(F84-F72)/F72</f>
        <v>5.4861550860629785E-2</v>
      </c>
      <c r="H84" s="482">
        <v>46000</v>
      </c>
      <c r="I84" s="481">
        <f>(H84-H72)/H72</f>
        <v>0.4375</v>
      </c>
      <c r="J84" s="426"/>
      <c r="K84" s="415"/>
      <c r="L84" s="3">
        <v>119</v>
      </c>
      <c r="M84" s="9"/>
      <c r="N84" s="3">
        <v>845</v>
      </c>
      <c r="O84" s="9"/>
      <c r="P84" s="3"/>
      <c r="Q84" s="9"/>
      <c r="R84" s="3"/>
      <c r="S84" s="9"/>
      <c r="T84" s="3">
        <v>11643</v>
      </c>
      <c r="U84" s="9">
        <f t="shared" si="10"/>
        <v>0.18155063933428051</v>
      </c>
      <c r="V84" s="3">
        <v>1356</v>
      </c>
      <c r="W84" s="9">
        <f t="shared" si="11"/>
        <v>0.3114119922630561</v>
      </c>
      <c r="X84" s="3">
        <v>3982</v>
      </c>
      <c r="Y84" s="9">
        <f t="shared" si="12"/>
        <v>0.22636279642747151</v>
      </c>
      <c r="Z84" s="3"/>
      <c r="AA84" s="9"/>
      <c r="AB84" s="3">
        <v>6</v>
      </c>
      <c r="AC84" s="9">
        <f t="shared" si="13"/>
        <v>-0.66666666666666663</v>
      </c>
      <c r="AD84" s="38">
        <v>94</v>
      </c>
      <c r="AE84" s="9">
        <f t="shared" si="9"/>
        <v>0.6785714285714286</v>
      </c>
      <c r="AF84" s="3"/>
      <c r="AG84" s="9"/>
    </row>
    <row r="85" spans="1:33" s="152" customFormat="1" ht="13.5" hidden="1" customHeight="1">
      <c r="A85" s="461"/>
      <c r="B85" s="62" t="s">
        <v>52</v>
      </c>
      <c r="C85" s="3">
        <v>1235742</v>
      </c>
      <c r="D85" s="9">
        <v>0.186</v>
      </c>
      <c r="E85" s="178"/>
      <c r="F85" s="5">
        <v>14859</v>
      </c>
      <c r="G85" s="134">
        <f>(F85-F73)/F73</f>
        <v>1.4127764127764128E-2</v>
      </c>
      <c r="H85" s="482"/>
      <c r="I85" s="481"/>
      <c r="J85" s="426"/>
      <c r="K85" s="415"/>
      <c r="L85" s="3">
        <v>105</v>
      </c>
      <c r="M85" s="9"/>
      <c r="N85" s="3">
        <v>911</v>
      </c>
      <c r="O85" s="74"/>
      <c r="P85" s="3"/>
      <c r="Q85" s="9"/>
      <c r="R85" s="3"/>
      <c r="S85" s="9"/>
      <c r="T85" s="3">
        <v>11280</v>
      </c>
      <c r="U85" s="74">
        <f t="shared" si="10"/>
        <v>0.34269729794072135</v>
      </c>
      <c r="V85" s="3">
        <v>1273</v>
      </c>
      <c r="W85" s="74">
        <f t="shared" si="11"/>
        <v>-7.8871201157742404E-2</v>
      </c>
      <c r="X85" s="3">
        <v>3960</v>
      </c>
      <c r="Y85" s="74">
        <f t="shared" si="12"/>
        <v>0.430635838150289</v>
      </c>
      <c r="Z85" s="3"/>
      <c r="AA85" s="74"/>
      <c r="AB85" s="3">
        <v>36</v>
      </c>
      <c r="AC85" s="74">
        <f t="shared" si="13"/>
        <v>1.5714285714285714</v>
      </c>
      <c r="AD85" s="38">
        <v>87</v>
      </c>
      <c r="AE85" s="9">
        <f t="shared" si="9"/>
        <v>0.70588235294117641</v>
      </c>
      <c r="AF85" s="3"/>
      <c r="AG85" s="9"/>
    </row>
    <row r="86" spans="1:33" s="152" customFormat="1" ht="13.5" hidden="1" customHeight="1">
      <c r="A86" s="461"/>
      <c r="B86" s="62" t="s">
        <v>53</v>
      </c>
      <c r="C86" s="3">
        <v>1013123</v>
      </c>
      <c r="D86" s="9">
        <v>0.53900000000000003</v>
      </c>
      <c r="E86" s="178"/>
      <c r="F86" s="5">
        <v>15093</v>
      </c>
      <c r="G86" s="134">
        <f>(F86-F74)/F74</f>
        <v>0.23743543494301877</v>
      </c>
      <c r="H86" s="482"/>
      <c r="I86" s="481"/>
      <c r="J86" s="426"/>
      <c r="K86" s="415"/>
      <c r="L86" s="3">
        <v>43</v>
      </c>
      <c r="M86" s="9"/>
      <c r="N86" s="3">
        <v>758</v>
      </c>
      <c r="O86" s="74"/>
      <c r="P86" s="3"/>
      <c r="Q86" s="9"/>
      <c r="R86" s="3"/>
      <c r="S86" s="9"/>
      <c r="T86" s="3">
        <v>7964</v>
      </c>
      <c r="U86" s="74">
        <f t="shared" si="10"/>
        <v>0.62862985685071571</v>
      </c>
      <c r="V86" s="3">
        <v>1142</v>
      </c>
      <c r="W86" s="74">
        <f t="shared" si="11"/>
        <v>0.21102863202545069</v>
      </c>
      <c r="X86" s="3">
        <v>2283</v>
      </c>
      <c r="Y86" s="74">
        <f t="shared" si="12"/>
        <v>6.6822429906542052E-2</v>
      </c>
      <c r="Z86" s="3"/>
      <c r="AA86" s="74"/>
      <c r="AB86" s="3">
        <v>5</v>
      </c>
      <c r="AC86" s="74">
        <f t="shared" si="13"/>
        <v>-0.16666666666666666</v>
      </c>
      <c r="AD86" s="38">
        <v>81</v>
      </c>
      <c r="AE86" s="9">
        <f t="shared" si="9"/>
        <v>2.5316455696202445E-2</v>
      </c>
      <c r="AF86" s="3"/>
      <c r="AG86" s="9"/>
    </row>
    <row r="87" spans="1:33" s="152" customFormat="1" ht="13.5" hidden="1" customHeight="1">
      <c r="A87" s="461"/>
      <c r="B87" s="62" t="s">
        <v>54</v>
      </c>
      <c r="C87" s="3">
        <v>1055581</v>
      </c>
      <c r="D87" s="9">
        <v>0.47699999999999998</v>
      </c>
      <c r="E87" s="178"/>
      <c r="F87" s="5">
        <v>13009</v>
      </c>
      <c r="G87" s="134">
        <v>0.34799999999999998</v>
      </c>
      <c r="H87" s="482">
        <v>25000</v>
      </c>
      <c r="I87" s="481">
        <f>(H87-H75)/H75</f>
        <v>0.66666666666666663</v>
      </c>
      <c r="J87" s="426"/>
      <c r="K87" s="415"/>
      <c r="L87" s="3">
        <v>62</v>
      </c>
      <c r="M87" s="9"/>
      <c r="N87" s="3">
        <v>938</v>
      </c>
      <c r="O87" s="9"/>
      <c r="P87" s="3"/>
      <c r="Q87" s="9"/>
      <c r="R87" s="3"/>
      <c r="S87" s="9"/>
      <c r="T87" s="3">
        <v>6592</v>
      </c>
      <c r="U87" s="9">
        <f t="shared" si="10"/>
        <v>0.73565034228541337</v>
      </c>
      <c r="V87" s="3">
        <v>688</v>
      </c>
      <c r="W87" s="9">
        <f t="shared" si="11"/>
        <v>0.47008547008547008</v>
      </c>
      <c r="X87" s="3">
        <v>1174</v>
      </c>
      <c r="Y87" s="9">
        <f t="shared" si="12"/>
        <v>4.6345811051693407E-2</v>
      </c>
      <c r="Z87" s="3"/>
      <c r="AA87" s="9"/>
      <c r="AB87" s="3">
        <v>8</v>
      </c>
      <c r="AC87" s="9">
        <f t="shared" si="13"/>
        <v>0</v>
      </c>
      <c r="AD87" s="38">
        <v>139</v>
      </c>
      <c r="AE87" s="9">
        <f t="shared" si="9"/>
        <v>0.57954545454545459</v>
      </c>
      <c r="AF87" s="3"/>
      <c r="AG87" s="9"/>
    </row>
    <row r="88" spans="1:33" s="152" customFormat="1" ht="13.5" hidden="1" customHeight="1">
      <c r="A88" s="461"/>
      <c r="B88" s="62" t="s">
        <v>60</v>
      </c>
      <c r="C88" s="3">
        <v>1004902</v>
      </c>
      <c r="D88" s="9">
        <v>0.39200000000000002</v>
      </c>
      <c r="E88" s="178"/>
      <c r="F88" s="5">
        <v>10131</v>
      </c>
      <c r="G88" s="134">
        <v>0.23799999999999999</v>
      </c>
      <c r="H88" s="482"/>
      <c r="I88" s="481"/>
      <c r="J88" s="426"/>
      <c r="K88" s="415"/>
      <c r="L88" s="3">
        <v>32</v>
      </c>
      <c r="M88" s="9"/>
      <c r="N88" s="3">
        <v>277</v>
      </c>
      <c r="O88" s="9"/>
      <c r="P88" s="3"/>
      <c r="Q88" s="9"/>
      <c r="R88" s="3"/>
      <c r="S88" s="9"/>
      <c r="T88" s="3">
        <v>3680</v>
      </c>
      <c r="U88" s="9">
        <f t="shared" si="10"/>
        <v>0.458581054300436</v>
      </c>
      <c r="V88" s="3">
        <v>648</v>
      </c>
      <c r="W88" s="9">
        <f t="shared" si="11"/>
        <v>0.64885496183206104</v>
      </c>
      <c r="X88" s="3">
        <v>934</v>
      </c>
      <c r="Y88" s="9">
        <f t="shared" si="12"/>
        <v>-7.9802955665024627E-2</v>
      </c>
      <c r="Z88" s="3"/>
      <c r="AA88" s="9"/>
      <c r="AB88" s="3">
        <v>4</v>
      </c>
      <c r="AC88" s="9">
        <f t="shared" si="13"/>
        <v>-0.73333333333333328</v>
      </c>
      <c r="AD88" s="38">
        <v>51</v>
      </c>
      <c r="AE88" s="9">
        <f t="shared" si="9"/>
        <v>2.0000000000000018E-2</v>
      </c>
      <c r="AF88" s="3"/>
      <c r="AG88" s="9"/>
    </row>
    <row r="89" spans="1:33" s="152" customFormat="1" ht="13.5" hidden="1" customHeight="1">
      <c r="A89" s="462"/>
      <c r="B89" s="41" t="s">
        <v>55</v>
      </c>
      <c r="C89" s="3">
        <v>1021428</v>
      </c>
      <c r="D89" s="9">
        <v>0.14899999999999999</v>
      </c>
      <c r="E89" s="178"/>
      <c r="F89" s="5">
        <v>8055</v>
      </c>
      <c r="G89" s="136">
        <v>0.183</v>
      </c>
      <c r="H89" s="502"/>
      <c r="I89" s="483"/>
      <c r="J89" s="433"/>
      <c r="K89" s="416"/>
      <c r="L89" s="3">
        <v>30</v>
      </c>
      <c r="M89" s="19"/>
      <c r="N89" s="3">
        <v>109</v>
      </c>
      <c r="O89" s="9"/>
      <c r="P89" s="3"/>
      <c r="Q89" s="9"/>
      <c r="R89" s="3"/>
      <c r="S89" s="9"/>
      <c r="T89" s="3">
        <v>4711</v>
      </c>
      <c r="U89" s="9">
        <f t="shared" si="10"/>
        <v>0.36471610660486675</v>
      </c>
      <c r="V89" s="3">
        <v>430</v>
      </c>
      <c r="W89" s="9">
        <f t="shared" si="11"/>
        <v>0.29518072289156627</v>
      </c>
      <c r="X89" s="3">
        <v>842</v>
      </c>
      <c r="Y89" s="9">
        <f t="shared" si="12"/>
        <v>-0.19271332694151486</v>
      </c>
      <c r="Z89" s="3"/>
      <c r="AA89" s="9"/>
      <c r="AB89" s="3">
        <v>1</v>
      </c>
      <c r="AC89" s="9"/>
      <c r="AD89" s="46">
        <v>80</v>
      </c>
      <c r="AE89" s="19">
        <f t="shared" si="9"/>
        <v>0.60000000000000009</v>
      </c>
      <c r="AF89" s="3"/>
      <c r="AG89" s="9"/>
    </row>
    <row r="90" spans="1:33" s="152" customFormat="1" ht="13.5" hidden="1" customHeight="1">
      <c r="A90" s="457" t="s">
        <v>62</v>
      </c>
      <c r="B90" s="2" t="s">
        <v>35</v>
      </c>
      <c r="C90" s="25">
        <v>1268007</v>
      </c>
      <c r="D90" s="24">
        <v>0.13400000000000001</v>
      </c>
      <c r="E90" s="178"/>
      <c r="F90" s="25">
        <v>10639</v>
      </c>
      <c r="G90" s="134">
        <f t="shared" ref="G90:G101" si="14">(F90/F78-1)</f>
        <v>0.18951252236135963</v>
      </c>
      <c r="H90" s="440">
        <v>24000</v>
      </c>
      <c r="I90" s="481">
        <f>(H90-H78)/H78</f>
        <v>0.14285714285714285</v>
      </c>
      <c r="J90" s="440">
        <v>91335</v>
      </c>
      <c r="K90" s="414">
        <f>(J90-J78)/J78</f>
        <v>7.867846659751496E-3</v>
      </c>
      <c r="L90" s="23">
        <v>19</v>
      </c>
      <c r="M90" s="9">
        <f t="shared" ref="M90:M97" si="15">(L90-L78)/L78</f>
        <v>0.58333333333333337</v>
      </c>
      <c r="N90" s="23">
        <v>196</v>
      </c>
      <c r="O90" s="24"/>
      <c r="P90" s="23"/>
      <c r="Q90" s="24"/>
      <c r="R90" s="23"/>
      <c r="S90" s="24"/>
      <c r="T90" s="23">
        <v>4843</v>
      </c>
      <c r="U90" s="24">
        <f t="shared" ref="U90:U125" si="16">(T90-T78)/T78</f>
        <v>0.46579903147699758</v>
      </c>
      <c r="V90" s="23">
        <v>592</v>
      </c>
      <c r="W90" s="24">
        <f t="shared" si="11"/>
        <v>0.45454545454545453</v>
      </c>
      <c r="X90" s="23">
        <v>861</v>
      </c>
      <c r="Y90" s="24">
        <f>(X90-X78)/X78</f>
        <v>2.014218009478673E-2</v>
      </c>
      <c r="Z90" s="23"/>
      <c r="AA90" s="24"/>
      <c r="AB90" s="23">
        <v>6</v>
      </c>
      <c r="AC90" s="24">
        <f t="shared" si="13"/>
        <v>1</v>
      </c>
      <c r="AD90" s="25">
        <v>73</v>
      </c>
      <c r="AE90" s="24">
        <f t="shared" si="9"/>
        <v>1.7037037037037037</v>
      </c>
      <c r="AF90" s="23"/>
      <c r="AG90" s="24"/>
    </row>
    <row r="91" spans="1:33" s="152" customFormat="1" ht="13.5" hidden="1" customHeight="1">
      <c r="A91" s="461"/>
      <c r="B91" s="15" t="s">
        <v>36</v>
      </c>
      <c r="C91" s="5">
        <v>1091628</v>
      </c>
      <c r="D91" s="9">
        <f t="shared" ref="D91:D125" si="17">(C91-C79)/C79</f>
        <v>0.20209711893915117</v>
      </c>
      <c r="E91" s="178"/>
      <c r="F91" s="5">
        <v>11247</v>
      </c>
      <c r="G91" s="134">
        <f t="shared" si="14"/>
        <v>0.2012175584748479</v>
      </c>
      <c r="H91" s="426"/>
      <c r="I91" s="481"/>
      <c r="J91" s="426"/>
      <c r="K91" s="415"/>
      <c r="L91" s="3">
        <v>17</v>
      </c>
      <c r="M91" s="9">
        <f t="shared" si="15"/>
        <v>3.25</v>
      </c>
      <c r="N91" s="3">
        <v>90</v>
      </c>
      <c r="O91" s="9"/>
      <c r="P91" s="3"/>
      <c r="Q91" s="9"/>
      <c r="R91" s="3"/>
      <c r="S91" s="9"/>
      <c r="T91" s="3">
        <v>3177</v>
      </c>
      <c r="U91" s="9">
        <f t="shared" si="16"/>
        <v>0.20844427538988208</v>
      </c>
      <c r="V91" s="3">
        <v>486</v>
      </c>
      <c r="W91" s="9">
        <f t="shared" si="11"/>
        <v>0.30645161290322581</v>
      </c>
      <c r="X91" s="3">
        <v>863</v>
      </c>
      <c r="Y91" s="9">
        <f t="shared" ref="Y91:Y101" si="18">(X91-X79)/X79</f>
        <v>-0.48965109402720286</v>
      </c>
      <c r="Z91" s="3"/>
      <c r="AA91" s="9"/>
      <c r="AB91" s="3">
        <v>7</v>
      </c>
      <c r="AC91" s="9">
        <f t="shared" si="13"/>
        <v>2.5</v>
      </c>
      <c r="AD91" s="3">
        <v>62</v>
      </c>
      <c r="AE91" s="9">
        <f t="shared" si="9"/>
        <v>0.9375</v>
      </c>
      <c r="AF91" s="3"/>
      <c r="AG91" s="9"/>
    </row>
    <row r="92" spans="1:33" s="152" customFormat="1" ht="13.5" hidden="1" customHeight="1">
      <c r="A92" s="461"/>
      <c r="B92" s="15" t="s">
        <v>21</v>
      </c>
      <c r="C92" s="5">
        <v>868694</v>
      </c>
      <c r="D92" s="9">
        <f t="shared" si="17"/>
        <v>-8.5763298726037565E-2</v>
      </c>
      <c r="E92" s="178"/>
      <c r="F92" s="5">
        <v>10006</v>
      </c>
      <c r="G92" s="134">
        <f t="shared" si="14"/>
        <v>0.10882092198581561</v>
      </c>
      <c r="H92" s="426"/>
      <c r="I92" s="481"/>
      <c r="J92" s="426"/>
      <c r="K92" s="415"/>
      <c r="L92" s="3">
        <v>47</v>
      </c>
      <c r="M92" s="9">
        <f t="shared" si="15"/>
        <v>14.666666666666666</v>
      </c>
      <c r="N92" s="3">
        <v>361</v>
      </c>
      <c r="O92" s="9"/>
      <c r="P92" s="3"/>
      <c r="Q92" s="9"/>
      <c r="R92" s="3"/>
      <c r="S92" s="9"/>
      <c r="T92" s="3">
        <v>5170</v>
      </c>
      <c r="U92" s="9">
        <f t="shared" si="16"/>
        <v>0.59567901234567899</v>
      </c>
      <c r="V92" s="3">
        <v>506</v>
      </c>
      <c r="W92" s="9">
        <f t="shared" si="11"/>
        <v>4.1152263374485597E-2</v>
      </c>
      <c r="X92" s="3">
        <v>1110</v>
      </c>
      <c r="Y92" s="9">
        <f t="shared" si="18"/>
        <v>-0.36788154897494307</v>
      </c>
      <c r="Z92" s="3"/>
      <c r="AA92" s="9"/>
      <c r="AB92" s="3">
        <v>5</v>
      </c>
      <c r="AC92" s="9">
        <f t="shared" si="13"/>
        <v>0.25</v>
      </c>
      <c r="AD92" s="3">
        <v>141</v>
      </c>
      <c r="AE92" s="9">
        <f t="shared" si="9"/>
        <v>0.95833333333333326</v>
      </c>
      <c r="AF92" s="3"/>
      <c r="AG92" s="9"/>
    </row>
    <row r="93" spans="1:33" s="152" customFormat="1" ht="13.5" hidden="1" customHeight="1">
      <c r="A93" s="461"/>
      <c r="B93" s="15" t="s">
        <v>22</v>
      </c>
      <c r="C93" s="5">
        <v>867487</v>
      </c>
      <c r="D93" s="9">
        <f t="shared" si="17"/>
        <v>-7.310258317092351E-2</v>
      </c>
      <c r="E93" s="178"/>
      <c r="F93" s="5">
        <v>11773</v>
      </c>
      <c r="G93" s="134">
        <f t="shared" si="14"/>
        <v>8.7474598189543729E-2</v>
      </c>
      <c r="H93" s="482">
        <v>36000</v>
      </c>
      <c r="I93" s="481">
        <f>(H93-H81)/H81</f>
        <v>0.56521739130434778</v>
      </c>
      <c r="J93" s="426"/>
      <c r="K93" s="415"/>
      <c r="L93" s="3">
        <v>28</v>
      </c>
      <c r="M93" s="9">
        <f t="shared" si="15"/>
        <v>4.5999999999999996</v>
      </c>
      <c r="N93" s="3">
        <v>849</v>
      </c>
      <c r="O93" s="74"/>
      <c r="P93" s="3"/>
      <c r="Q93" s="9"/>
      <c r="R93" s="3"/>
      <c r="S93" s="9"/>
      <c r="T93" s="3">
        <v>6984</v>
      </c>
      <c r="U93" s="74">
        <f t="shared" si="16"/>
        <v>0.22827998593035526</v>
      </c>
      <c r="V93" s="3">
        <v>665</v>
      </c>
      <c r="W93" s="74">
        <f t="shared" si="11"/>
        <v>0.3247011952191235</v>
      </c>
      <c r="X93" s="3">
        <v>1897</v>
      </c>
      <c r="Y93" s="74">
        <f t="shared" si="18"/>
        <v>0.92588832487309647</v>
      </c>
      <c r="Z93" s="3"/>
      <c r="AA93" s="74"/>
      <c r="AB93" s="3">
        <v>14</v>
      </c>
      <c r="AC93" s="74">
        <f t="shared" si="13"/>
        <v>3.6666666666666665</v>
      </c>
      <c r="AD93" s="53">
        <v>120</v>
      </c>
      <c r="AE93" s="9">
        <f t="shared" si="9"/>
        <v>0.57894736842105265</v>
      </c>
      <c r="AF93" s="3"/>
      <c r="AG93" s="9"/>
    </row>
    <row r="94" spans="1:33" s="152" customFormat="1" ht="13.5" hidden="1" customHeight="1">
      <c r="A94" s="461"/>
      <c r="B94" s="15" t="s">
        <v>23</v>
      </c>
      <c r="C94" s="5">
        <v>1014409</v>
      </c>
      <c r="D94" s="9">
        <f t="shared" si="17"/>
        <v>-9.1872066730805859E-3</v>
      </c>
      <c r="E94" s="178"/>
      <c r="F94" s="5">
        <v>17407</v>
      </c>
      <c r="G94" s="134">
        <f t="shared" si="14"/>
        <v>0.35368224589781483</v>
      </c>
      <c r="H94" s="482"/>
      <c r="I94" s="481"/>
      <c r="J94" s="426"/>
      <c r="K94" s="415"/>
      <c r="L94" s="3">
        <v>44</v>
      </c>
      <c r="M94" s="9">
        <f t="shared" si="15"/>
        <v>-0.82040816326530608</v>
      </c>
      <c r="N94" s="3">
        <v>2701</v>
      </c>
      <c r="O94" s="9"/>
      <c r="P94" s="3"/>
      <c r="Q94" s="9"/>
      <c r="R94" s="3"/>
      <c r="S94" s="9"/>
      <c r="T94" s="3">
        <v>12617</v>
      </c>
      <c r="U94" s="9">
        <f t="shared" si="16"/>
        <v>0.43652510531708982</v>
      </c>
      <c r="V94" s="3">
        <v>954</v>
      </c>
      <c r="W94" s="9">
        <f t="shared" si="11"/>
        <v>8.9041095890410954E-2</v>
      </c>
      <c r="X94" s="3">
        <v>3067</v>
      </c>
      <c r="Y94" s="9">
        <f t="shared" si="18"/>
        <v>-7.6482987052092749E-2</v>
      </c>
      <c r="Z94" s="3"/>
      <c r="AA94" s="9"/>
      <c r="AB94" s="3">
        <v>15</v>
      </c>
      <c r="AC94" s="9">
        <f t="shared" si="13"/>
        <v>7.1428571428571425E-2</v>
      </c>
      <c r="AD94" s="53">
        <v>118</v>
      </c>
      <c r="AE94" s="9">
        <f t="shared" si="9"/>
        <v>0</v>
      </c>
      <c r="AF94" s="3"/>
      <c r="AG94" s="9"/>
    </row>
    <row r="95" spans="1:33" s="152" customFormat="1" ht="13.5" hidden="1" customHeight="1">
      <c r="A95" s="461"/>
      <c r="B95" s="15" t="s">
        <v>24</v>
      </c>
      <c r="C95" s="5">
        <v>1053658</v>
      </c>
      <c r="D95" s="9">
        <f t="shared" si="17"/>
        <v>5.619603908191384E-2</v>
      </c>
      <c r="E95" s="178"/>
      <c r="F95" s="5">
        <v>15450</v>
      </c>
      <c r="G95" s="134">
        <f t="shared" si="14"/>
        <v>0.10649573873809359</v>
      </c>
      <c r="H95" s="482"/>
      <c r="I95" s="481"/>
      <c r="J95" s="426"/>
      <c r="K95" s="415"/>
      <c r="L95" s="3">
        <v>78</v>
      </c>
      <c r="M95" s="9">
        <f t="shared" si="15"/>
        <v>2</v>
      </c>
      <c r="N95" s="3">
        <v>1286</v>
      </c>
      <c r="O95" s="74"/>
      <c r="P95" s="3"/>
      <c r="Q95" s="9"/>
      <c r="R95" s="3"/>
      <c r="S95" s="9"/>
      <c r="T95" s="3">
        <v>10408</v>
      </c>
      <c r="U95" s="74">
        <f t="shared" si="16"/>
        <v>0.29324055666003979</v>
      </c>
      <c r="V95" s="3">
        <v>1472</v>
      </c>
      <c r="W95" s="74">
        <f t="shared" si="11"/>
        <v>5.2932761087267528E-2</v>
      </c>
      <c r="X95" s="3">
        <v>5341</v>
      </c>
      <c r="Y95" s="74">
        <f t="shared" si="18"/>
        <v>0.14319349315068494</v>
      </c>
      <c r="Z95" s="3"/>
      <c r="AA95" s="74"/>
      <c r="AB95" s="3">
        <v>17</v>
      </c>
      <c r="AC95" s="74">
        <f t="shared" si="13"/>
        <v>0.30769230769230771</v>
      </c>
      <c r="AD95" s="53">
        <v>181</v>
      </c>
      <c r="AE95" s="9">
        <f t="shared" si="9"/>
        <v>1.3205128205128207</v>
      </c>
      <c r="AF95" s="3"/>
      <c r="AG95" s="9"/>
    </row>
    <row r="96" spans="1:33" s="152" customFormat="1" ht="13.5" hidden="1" customHeight="1">
      <c r="A96" s="461"/>
      <c r="B96" s="15" t="s">
        <v>25</v>
      </c>
      <c r="C96" s="5">
        <v>1241629</v>
      </c>
      <c r="D96" s="9">
        <f t="shared" si="17"/>
        <v>1.4632396383822155E-2</v>
      </c>
      <c r="E96" s="178"/>
      <c r="F96" s="5">
        <v>22370</v>
      </c>
      <c r="G96" s="134">
        <f t="shared" si="14"/>
        <v>0.22080331805282682</v>
      </c>
      <c r="H96" s="482">
        <v>63000</v>
      </c>
      <c r="I96" s="481">
        <f>(H96-H84)/H84</f>
        <v>0.36956521739130432</v>
      </c>
      <c r="J96" s="426"/>
      <c r="K96" s="415"/>
      <c r="L96" s="3">
        <v>346</v>
      </c>
      <c r="M96" s="9">
        <f t="shared" si="15"/>
        <v>1.9075630252100841</v>
      </c>
      <c r="N96" s="3">
        <v>1595</v>
      </c>
      <c r="O96" s="9"/>
      <c r="P96" s="3"/>
      <c r="Q96" s="9"/>
      <c r="R96" s="3"/>
      <c r="S96" s="9"/>
      <c r="T96" s="3">
        <v>15892</v>
      </c>
      <c r="U96" s="9">
        <f t="shared" si="16"/>
        <v>0.36494030748088979</v>
      </c>
      <c r="V96" s="3">
        <v>2205</v>
      </c>
      <c r="W96" s="9">
        <f t="shared" si="11"/>
        <v>0.62610619469026552</v>
      </c>
      <c r="X96" s="3">
        <v>5038</v>
      </c>
      <c r="Y96" s="9">
        <f t="shared" si="18"/>
        <v>0.26519337016574585</v>
      </c>
      <c r="Z96" s="3"/>
      <c r="AA96" s="9"/>
      <c r="AB96" s="3">
        <v>25</v>
      </c>
      <c r="AC96" s="9">
        <f t="shared" si="13"/>
        <v>3.1666666666666665</v>
      </c>
      <c r="AD96" s="5">
        <v>280</v>
      </c>
      <c r="AE96" s="9">
        <f t="shared" si="9"/>
        <v>1.978723404255319</v>
      </c>
      <c r="AF96" s="3">
        <v>6</v>
      </c>
      <c r="AG96" s="9"/>
    </row>
    <row r="97" spans="1:33" s="152" customFormat="1" ht="13.5" hidden="1" customHeight="1">
      <c r="A97" s="461"/>
      <c r="B97" s="15" t="s">
        <v>26</v>
      </c>
      <c r="C97" s="5">
        <v>1247222</v>
      </c>
      <c r="D97" s="9">
        <f t="shared" si="17"/>
        <v>9.2899650574310814E-3</v>
      </c>
      <c r="E97" s="178"/>
      <c r="F97" s="5">
        <v>17949</v>
      </c>
      <c r="G97" s="134">
        <f t="shared" si="14"/>
        <v>0.20795477488390879</v>
      </c>
      <c r="H97" s="482"/>
      <c r="I97" s="481"/>
      <c r="J97" s="426"/>
      <c r="K97" s="415"/>
      <c r="L97" s="3">
        <v>176</v>
      </c>
      <c r="M97" s="9">
        <f t="shared" si="15"/>
        <v>0.67619047619047623</v>
      </c>
      <c r="N97" s="3">
        <v>1756</v>
      </c>
      <c r="O97" s="74"/>
      <c r="P97" s="3"/>
      <c r="Q97" s="9"/>
      <c r="R97" s="3"/>
      <c r="S97" s="9"/>
      <c r="T97" s="3">
        <v>15526</v>
      </c>
      <c r="U97" s="74">
        <f t="shared" si="16"/>
        <v>0.37641843971631206</v>
      </c>
      <c r="V97" s="3">
        <v>2387</v>
      </c>
      <c r="W97" s="74">
        <f t="shared" si="11"/>
        <v>0.87509819324430482</v>
      </c>
      <c r="X97" s="3">
        <v>4294</v>
      </c>
      <c r="Y97" s="74">
        <f t="shared" si="18"/>
        <v>8.4343434343434345E-2</v>
      </c>
      <c r="Z97" s="3"/>
      <c r="AA97" s="74"/>
      <c r="AB97" s="3">
        <v>16</v>
      </c>
      <c r="AC97" s="74">
        <f t="shared" si="13"/>
        <v>-0.55555555555555558</v>
      </c>
      <c r="AD97" s="5">
        <v>96</v>
      </c>
      <c r="AE97" s="9">
        <f t="shared" si="9"/>
        <v>0.10344827586206895</v>
      </c>
      <c r="AF97" s="3">
        <v>4</v>
      </c>
      <c r="AG97" s="9"/>
    </row>
    <row r="98" spans="1:33" s="152" customFormat="1" ht="13.5" hidden="1" customHeight="1">
      <c r="A98" s="461"/>
      <c r="B98" s="15" t="s">
        <v>27</v>
      </c>
      <c r="C98" s="5">
        <v>1013507</v>
      </c>
      <c r="D98" s="9">
        <f t="shared" si="17"/>
        <v>3.7902604126053798E-4</v>
      </c>
      <c r="E98" s="178"/>
      <c r="F98" s="5">
        <v>17963</v>
      </c>
      <c r="G98" s="134">
        <f t="shared" si="14"/>
        <v>0.19015437620088793</v>
      </c>
      <c r="H98" s="482"/>
      <c r="I98" s="481"/>
      <c r="J98" s="426"/>
      <c r="K98" s="415"/>
      <c r="L98" s="3">
        <v>68</v>
      </c>
      <c r="M98" s="9">
        <f t="shared" ref="M98:M125" si="19">(L98-L86)/L86</f>
        <v>0.58139534883720934</v>
      </c>
      <c r="N98" s="3">
        <v>1206</v>
      </c>
      <c r="O98" s="74"/>
      <c r="P98" s="3"/>
      <c r="Q98" s="9"/>
      <c r="R98" s="3"/>
      <c r="S98" s="9"/>
      <c r="T98" s="3">
        <v>10853</v>
      </c>
      <c r="U98" s="74">
        <f t="shared" si="16"/>
        <v>0.36275740833751885</v>
      </c>
      <c r="V98" s="3">
        <v>1255</v>
      </c>
      <c r="W98" s="74">
        <f t="shared" si="11"/>
        <v>9.8949211908931703E-2</v>
      </c>
      <c r="X98" s="3">
        <v>2435</v>
      </c>
      <c r="Y98" s="74">
        <f t="shared" si="18"/>
        <v>6.6579062636881292E-2</v>
      </c>
      <c r="Z98" s="3"/>
      <c r="AA98" s="74"/>
      <c r="AB98" s="3">
        <v>2</v>
      </c>
      <c r="AC98" s="74">
        <f t="shared" si="13"/>
        <v>-0.6</v>
      </c>
      <c r="AD98" s="5">
        <v>101</v>
      </c>
      <c r="AE98" s="9">
        <f t="shared" si="9"/>
        <v>0.24691358024691357</v>
      </c>
      <c r="AF98" s="3">
        <v>35</v>
      </c>
      <c r="AG98" s="9"/>
    </row>
    <row r="99" spans="1:33" s="152" customFormat="1" ht="13.5" hidden="1" customHeight="1">
      <c r="A99" s="461"/>
      <c r="B99" s="15" t="s">
        <v>28</v>
      </c>
      <c r="C99" s="5">
        <v>1032589</v>
      </c>
      <c r="D99" s="9">
        <f t="shared" si="17"/>
        <v>-2.178136969119376E-2</v>
      </c>
      <c r="E99" s="178"/>
      <c r="F99" s="5">
        <v>14826</v>
      </c>
      <c r="G99" s="134">
        <f t="shared" si="14"/>
        <v>0.13967253439926197</v>
      </c>
      <c r="H99" s="484">
        <v>18000</v>
      </c>
      <c r="I99" s="481">
        <f>(H99-H87)/H87</f>
        <v>-0.28000000000000003</v>
      </c>
      <c r="J99" s="426"/>
      <c r="K99" s="415"/>
      <c r="L99" s="3">
        <v>55</v>
      </c>
      <c r="M99" s="9">
        <f t="shared" si="19"/>
        <v>-0.11290322580645161</v>
      </c>
      <c r="N99" s="3">
        <v>1077</v>
      </c>
      <c r="O99" s="9"/>
      <c r="P99" s="3"/>
      <c r="Q99" s="9"/>
      <c r="R99" s="3"/>
      <c r="S99" s="9"/>
      <c r="T99" s="3">
        <v>10060</v>
      </c>
      <c r="U99" s="9">
        <f t="shared" si="16"/>
        <v>0.52609223300970875</v>
      </c>
      <c r="V99" s="3">
        <v>765</v>
      </c>
      <c r="W99" s="9">
        <f t="shared" si="11"/>
        <v>0.1119186046511628</v>
      </c>
      <c r="X99" s="3">
        <v>1718</v>
      </c>
      <c r="Y99" s="9">
        <f t="shared" si="18"/>
        <v>0.46337308347529815</v>
      </c>
      <c r="Z99" s="3"/>
      <c r="AA99" s="9"/>
      <c r="AB99" s="3">
        <v>7</v>
      </c>
      <c r="AC99" s="9">
        <f t="shared" si="13"/>
        <v>-0.125</v>
      </c>
      <c r="AD99" s="5">
        <v>104</v>
      </c>
      <c r="AE99" s="9">
        <f t="shared" si="9"/>
        <v>-0.25179856115107913</v>
      </c>
      <c r="AF99" s="3">
        <v>1</v>
      </c>
      <c r="AG99" s="9"/>
    </row>
    <row r="100" spans="1:33" s="152" customFormat="1" ht="13.5" hidden="1" customHeight="1">
      <c r="A100" s="461"/>
      <c r="B100" s="15" t="s">
        <v>29</v>
      </c>
      <c r="C100" s="5">
        <v>974255</v>
      </c>
      <c r="D100" s="9">
        <f t="shared" si="17"/>
        <v>-3.0497501248878001E-2</v>
      </c>
      <c r="E100" s="178"/>
      <c r="F100" s="5">
        <v>12521</v>
      </c>
      <c r="G100" s="134">
        <f t="shared" si="14"/>
        <v>0.2359095844437864</v>
      </c>
      <c r="H100" s="484"/>
      <c r="I100" s="481"/>
      <c r="J100" s="426"/>
      <c r="K100" s="415"/>
      <c r="L100" s="3">
        <v>187</v>
      </c>
      <c r="M100" s="9">
        <f t="shared" si="19"/>
        <v>4.84375</v>
      </c>
      <c r="N100" s="3">
        <v>311</v>
      </c>
      <c r="O100" s="9"/>
      <c r="P100" s="3"/>
      <c r="Q100" s="9"/>
      <c r="R100" s="3"/>
      <c r="S100" s="9"/>
      <c r="T100" s="3">
        <v>5491</v>
      </c>
      <c r="U100" s="9">
        <f t="shared" si="16"/>
        <v>0.49211956521739131</v>
      </c>
      <c r="V100" s="3">
        <v>647</v>
      </c>
      <c r="W100" s="9">
        <f t="shared" si="11"/>
        <v>-1.5432098765432098E-3</v>
      </c>
      <c r="X100" s="3">
        <v>1496</v>
      </c>
      <c r="Y100" s="9">
        <f t="shared" si="18"/>
        <v>0.60171306209850106</v>
      </c>
      <c r="Z100" s="3"/>
      <c r="AA100" s="9"/>
      <c r="AB100" s="3">
        <v>8</v>
      </c>
      <c r="AC100" s="9">
        <f t="shared" si="13"/>
        <v>1</v>
      </c>
      <c r="AD100" s="5">
        <v>94</v>
      </c>
      <c r="AE100" s="9">
        <f t="shared" si="9"/>
        <v>0.84313725490196068</v>
      </c>
      <c r="AF100" s="3">
        <v>2</v>
      </c>
      <c r="AG100" s="9"/>
    </row>
    <row r="101" spans="1:33" s="152" customFormat="1" ht="13.5" hidden="1" customHeight="1">
      <c r="A101" s="462"/>
      <c r="B101" s="41" t="s">
        <v>30</v>
      </c>
      <c r="C101" s="5">
        <v>1020648</v>
      </c>
      <c r="D101" s="19">
        <f t="shared" si="17"/>
        <v>-7.6363679084575709E-4</v>
      </c>
      <c r="E101" s="178"/>
      <c r="F101" s="5">
        <v>10715</v>
      </c>
      <c r="G101" s="136">
        <f t="shared" si="14"/>
        <v>0.33022967101179401</v>
      </c>
      <c r="H101" s="485"/>
      <c r="I101" s="483"/>
      <c r="J101" s="433"/>
      <c r="K101" s="416"/>
      <c r="L101" s="3">
        <v>5</v>
      </c>
      <c r="M101" s="19">
        <f t="shared" si="19"/>
        <v>-0.83333333333333337</v>
      </c>
      <c r="N101" s="3">
        <v>104</v>
      </c>
      <c r="O101" s="9"/>
      <c r="P101" s="3"/>
      <c r="Q101" s="9"/>
      <c r="R101" s="3"/>
      <c r="S101" s="9"/>
      <c r="T101" s="3">
        <v>5338</v>
      </c>
      <c r="U101" s="9">
        <f t="shared" si="16"/>
        <v>0.13309276162173636</v>
      </c>
      <c r="V101" s="3">
        <v>512</v>
      </c>
      <c r="W101" s="9">
        <f t="shared" si="11"/>
        <v>0.19069767441860466</v>
      </c>
      <c r="X101" s="3">
        <v>1023</v>
      </c>
      <c r="Y101" s="9">
        <f t="shared" si="18"/>
        <v>0.21496437054631828</v>
      </c>
      <c r="Z101" s="3"/>
      <c r="AA101" s="9"/>
      <c r="AB101" s="3">
        <v>5</v>
      </c>
      <c r="AC101" s="9">
        <f t="shared" si="13"/>
        <v>4</v>
      </c>
      <c r="AD101" s="5">
        <v>49</v>
      </c>
      <c r="AE101" s="19">
        <f t="shared" si="9"/>
        <v>-0.38749999999999996</v>
      </c>
      <c r="AF101" s="3">
        <v>2</v>
      </c>
      <c r="AG101" s="9"/>
    </row>
    <row r="102" spans="1:33" s="152" customFormat="1" ht="13.5" customHeight="1">
      <c r="A102" s="457" t="s">
        <v>63</v>
      </c>
      <c r="B102" s="2" t="s">
        <v>35</v>
      </c>
      <c r="C102" s="25">
        <v>1200782</v>
      </c>
      <c r="D102" s="9">
        <f t="shared" si="17"/>
        <v>-5.3016268837632601E-2</v>
      </c>
      <c r="E102" s="178"/>
      <c r="F102" s="25">
        <v>13862</v>
      </c>
      <c r="G102" s="134">
        <f>(F102/F90-1)</f>
        <v>0.30294200582761532</v>
      </c>
      <c r="H102" s="482">
        <v>29383</v>
      </c>
      <c r="I102" s="481">
        <f>(H102-H90)/H90</f>
        <v>0.22429166666666667</v>
      </c>
      <c r="J102" s="440">
        <v>94922</v>
      </c>
      <c r="K102" s="414">
        <f>(J102-J90)/J90</f>
        <v>3.9273005967044396E-2</v>
      </c>
      <c r="L102" s="23">
        <v>7</v>
      </c>
      <c r="M102" s="9">
        <f t="shared" si="19"/>
        <v>-0.63157894736842102</v>
      </c>
      <c r="N102" s="77">
        <v>228</v>
      </c>
      <c r="O102" s="30"/>
      <c r="P102" s="23"/>
      <c r="Q102" s="24"/>
      <c r="R102" s="23"/>
      <c r="S102" s="24"/>
      <c r="T102" s="29">
        <v>6603</v>
      </c>
      <c r="U102" s="24">
        <f t="shared" si="16"/>
        <v>0.36341110881684907</v>
      </c>
      <c r="V102" s="29">
        <v>692</v>
      </c>
      <c r="W102" s="24">
        <f t="shared" si="11"/>
        <v>0.16891891891891891</v>
      </c>
      <c r="X102" s="23">
        <v>1182</v>
      </c>
      <c r="Y102" s="24">
        <f>(X102-X90)/X90</f>
        <v>0.37282229965156793</v>
      </c>
      <c r="Z102" s="411">
        <v>13638</v>
      </c>
      <c r="AA102" s="421"/>
      <c r="AB102" s="29">
        <v>2</v>
      </c>
      <c r="AC102" s="24">
        <f t="shared" si="13"/>
        <v>-0.66666666666666663</v>
      </c>
      <c r="AD102" s="25">
        <v>83</v>
      </c>
      <c r="AE102" s="24">
        <f t="shared" si="9"/>
        <v>0.13698630136986312</v>
      </c>
      <c r="AF102" s="23">
        <v>5</v>
      </c>
      <c r="AG102" s="24"/>
    </row>
    <row r="103" spans="1:33" s="152" customFormat="1" ht="13.5" customHeight="1">
      <c r="A103" s="461"/>
      <c r="B103" s="15" t="s">
        <v>36</v>
      </c>
      <c r="C103" s="5">
        <v>1150334</v>
      </c>
      <c r="D103" s="9">
        <f t="shared" si="17"/>
        <v>5.3778393372101121E-2</v>
      </c>
      <c r="E103" s="178"/>
      <c r="F103" s="5">
        <v>14787</v>
      </c>
      <c r="G103" s="134">
        <f t="shared" ref="G103:G114" si="20">(F103/F91-1)</f>
        <v>0.31475060016004264</v>
      </c>
      <c r="H103" s="482"/>
      <c r="I103" s="481"/>
      <c r="J103" s="426"/>
      <c r="K103" s="415"/>
      <c r="L103" s="3">
        <v>6</v>
      </c>
      <c r="M103" s="9">
        <f t="shared" si="19"/>
        <v>-0.6470588235294118</v>
      </c>
      <c r="N103" s="3">
        <v>86</v>
      </c>
      <c r="O103" s="39"/>
      <c r="P103" s="3"/>
      <c r="Q103" s="9"/>
      <c r="R103" s="3"/>
      <c r="S103" s="9"/>
      <c r="T103" s="38">
        <v>4160</v>
      </c>
      <c r="U103" s="9">
        <f t="shared" si="16"/>
        <v>0.30941139439723009</v>
      </c>
      <c r="V103" s="38">
        <v>638</v>
      </c>
      <c r="W103" s="9">
        <f t="shared" si="11"/>
        <v>0.31275720164609055</v>
      </c>
      <c r="X103" s="3">
        <v>704</v>
      </c>
      <c r="Y103" s="9">
        <f t="shared" ref="Y103:Y125" si="21">(X103-X91)/X91</f>
        <v>-0.18424101969872539</v>
      </c>
      <c r="Z103" s="412"/>
      <c r="AA103" s="428"/>
      <c r="AB103" s="38">
        <v>12</v>
      </c>
      <c r="AC103" s="9">
        <f t="shared" si="13"/>
        <v>0.7142857142857143</v>
      </c>
      <c r="AD103" s="3">
        <v>81</v>
      </c>
      <c r="AE103" s="9">
        <f t="shared" si="9"/>
        <v>0.30645161290322576</v>
      </c>
      <c r="AF103" s="3">
        <v>0</v>
      </c>
      <c r="AG103" s="9"/>
    </row>
    <row r="104" spans="1:33" s="152" customFormat="1" ht="13.5" customHeight="1">
      <c r="A104" s="461"/>
      <c r="B104" s="15" t="s">
        <v>21</v>
      </c>
      <c r="C104" s="5">
        <v>1018952</v>
      </c>
      <c r="D104" s="9">
        <f t="shared" si="17"/>
        <v>0.17296999864163906</v>
      </c>
      <c r="E104" s="178"/>
      <c r="F104" s="5">
        <v>13025</v>
      </c>
      <c r="G104" s="134">
        <f t="shared" si="20"/>
        <v>0.30171896861882863</v>
      </c>
      <c r="H104" s="482"/>
      <c r="I104" s="481"/>
      <c r="J104" s="426"/>
      <c r="K104" s="415"/>
      <c r="L104" s="3">
        <v>22</v>
      </c>
      <c r="M104" s="9">
        <f t="shared" si="19"/>
        <v>-0.53191489361702127</v>
      </c>
      <c r="N104" s="77">
        <v>455</v>
      </c>
      <c r="O104" s="39"/>
      <c r="P104" s="3"/>
      <c r="Q104" s="9"/>
      <c r="R104" s="3"/>
      <c r="S104" s="9"/>
      <c r="T104" s="38">
        <v>6887</v>
      </c>
      <c r="U104" s="9">
        <f t="shared" si="16"/>
        <v>0.33210831721470019</v>
      </c>
      <c r="V104" s="38">
        <v>661</v>
      </c>
      <c r="W104" s="9">
        <f t="shared" si="11"/>
        <v>0.30632411067193677</v>
      </c>
      <c r="X104" s="3">
        <v>710</v>
      </c>
      <c r="Y104" s="9">
        <f t="shared" si="21"/>
        <v>-0.36036036036036034</v>
      </c>
      <c r="Z104" s="412"/>
      <c r="AA104" s="428"/>
      <c r="AB104" s="38">
        <v>1</v>
      </c>
      <c r="AC104" s="9">
        <f t="shared" si="13"/>
        <v>-0.8</v>
      </c>
      <c r="AD104" s="3">
        <v>204</v>
      </c>
      <c r="AE104" s="9">
        <f t="shared" si="9"/>
        <v>0.44680851063829796</v>
      </c>
      <c r="AF104" s="3">
        <v>2</v>
      </c>
      <c r="AG104" s="9"/>
    </row>
    <row r="105" spans="1:33" s="152" customFormat="1" ht="13.5" customHeight="1">
      <c r="A105" s="461"/>
      <c r="B105" s="73" t="s">
        <v>22</v>
      </c>
      <c r="C105" s="68">
        <v>1018645</v>
      </c>
      <c r="D105" s="74">
        <f t="shared" si="17"/>
        <v>0.17424814435259547</v>
      </c>
      <c r="E105" s="178"/>
      <c r="F105" s="68">
        <v>14598</v>
      </c>
      <c r="G105" s="134">
        <f t="shared" si="20"/>
        <v>0.23995583113904706</v>
      </c>
      <c r="H105" s="482">
        <v>39062</v>
      </c>
      <c r="I105" s="481">
        <f>(H105-H93)/H93</f>
        <v>8.5055555555555551E-2</v>
      </c>
      <c r="J105" s="426"/>
      <c r="K105" s="415"/>
      <c r="L105" s="77">
        <v>225</v>
      </c>
      <c r="M105" s="74">
        <f t="shared" si="19"/>
        <v>7.0357142857142856</v>
      </c>
      <c r="N105" s="77">
        <v>1364</v>
      </c>
      <c r="O105" s="74"/>
      <c r="P105" s="77"/>
      <c r="Q105" s="9"/>
      <c r="R105" s="77"/>
      <c r="S105" s="9"/>
      <c r="T105" s="38">
        <v>11185</v>
      </c>
      <c r="U105" s="74">
        <f t="shared" si="16"/>
        <v>0.6015177548682703</v>
      </c>
      <c r="V105" s="38">
        <v>689</v>
      </c>
      <c r="W105" s="74">
        <f t="shared" si="11"/>
        <v>3.6090225563909777E-2</v>
      </c>
      <c r="X105" s="77">
        <v>1168</v>
      </c>
      <c r="Y105" s="74">
        <f t="shared" si="21"/>
        <v>-0.38429098576700055</v>
      </c>
      <c r="Z105" s="412"/>
      <c r="AA105" s="428"/>
      <c r="AB105" s="38">
        <v>20</v>
      </c>
      <c r="AC105" s="74">
        <f t="shared" si="13"/>
        <v>0.42857142857142855</v>
      </c>
      <c r="AD105" s="75">
        <v>155</v>
      </c>
      <c r="AE105" s="9">
        <f t="shared" si="9"/>
        <v>0.29166666666666674</v>
      </c>
      <c r="AF105" s="77">
        <v>1</v>
      </c>
      <c r="AG105" s="9"/>
    </row>
    <row r="106" spans="1:33" s="152" customFormat="1" ht="13.5" customHeight="1">
      <c r="A106" s="461"/>
      <c r="B106" s="15" t="s">
        <v>23</v>
      </c>
      <c r="C106" s="5">
        <v>1096950</v>
      </c>
      <c r="D106" s="9">
        <f t="shared" si="17"/>
        <v>8.1368560413008953E-2</v>
      </c>
      <c r="E106" s="178"/>
      <c r="F106" s="5">
        <v>19803</v>
      </c>
      <c r="G106" s="134">
        <f t="shared" si="20"/>
        <v>0.13764577468834371</v>
      </c>
      <c r="H106" s="482"/>
      <c r="I106" s="481"/>
      <c r="J106" s="426"/>
      <c r="K106" s="415"/>
      <c r="L106" s="3">
        <v>80</v>
      </c>
      <c r="M106" s="9">
        <f t="shared" si="19"/>
        <v>0.81818181818181823</v>
      </c>
      <c r="N106" s="3">
        <v>3264</v>
      </c>
      <c r="O106" s="9"/>
      <c r="P106" s="3"/>
      <c r="Q106" s="9"/>
      <c r="R106" s="3"/>
      <c r="S106" s="9"/>
      <c r="T106" s="38">
        <v>14826</v>
      </c>
      <c r="U106" s="9">
        <f t="shared" si="16"/>
        <v>0.17508123959736863</v>
      </c>
      <c r="V106" s="38">
        <v>1007</v>
      </c>
      <c r="W106" s="9">
        <f t="shared" si="11"/>
        <v>5.5555555555555552E-2</v>
      </c>
      <c r="X106" s="3">
        <v>2887</v>
      </c>
      <c r="Y106" s="9">
        <f t="shared" si="21"/>
        <v>-5.8689272905119008E-2</v>
      </c>
      <c r="Z106" s="412"/>
      <c r="AA106" s="428"/>
      <c r="AB106" s="38">
        <v>7</v>
      </c>
      <c r="AC106" s="9">
        <f t="shared" si="13"/>
        <v>-0.53333333333333333</v>
      </c>
      <c r="AD106" s="53">
        <v>204</v>
      </c>
      <c r="AE106" s="9">
        <f t="shared" si="9"/>
        <v>0.72881355932203395</v>
      </c>
      <c r="AF106" s="3">
        <v>3</v>
      </c>
      <c r="AG106" s="9"/>
    </row>
    <row r="107" spans="1:33" s="152" customFormat="1" ht="13.5" customHeight="1">
      <c r="A107" s="461"/>
      <c r="B107" s="73" t="s">
        <v>24</v>
      </c>
      <c r="C107" s="68">
        <v>1109273</v>
      </c>
      <c r="D107" s="74">
        <f t="shared" si="17"/>
        <v>5.278278150974984E-2</v>
      </c>
      <c r="E107" s="178"/>
      <c r="F107" s="68">
        <v>19759</v>
      </c>
      <c r="G107" s="134">
        <f t="shared" si="20"/>
        <v>0.27889967637540458</v>
      </c>
      <c r="H107" s="482"/>
      <c r="I107" s="481"/>
      <c r="J107" s="426"/>
      <c r="K107" s="415"/>
      <c r="L107" s="77">
        <v>223</v>
      </c>
      <c r="M107" s="74">
        <f t="shared" si="19"/>
        <v>1.858974358974359</v>
      </c>
      <c r="N107" s="77">
        <v>2219</v>
      </c>
      <c r="O107" s="74"/>
      <c r="P107" s="77"/>
      <c r="Q107" s="9"/>
      <c r="R107" s="77"/>
      <c r="S107" s="9"/>
      <c r="T107" s="38">
        <v>14013</v>
      </c>
      <c r="U107" s="74">
        <f t="shared" si="16"/>
        <v>0.34636817832436589</v>
      </c>
      <c r="V107" s="38">
        <v>1698</v>
      </c>
      <c r="W107" s="74">
        <f t="shared" si="11"/>
        <v>0.15353260869565216</v>
      </c>
      <c r="X107" s="77">
        <v>5407</v>
      </c>
      <c r="Y107" s="74">
        <f t="shared" si="21"/>
        <v>1.2357236472570679E-2</v>
      </c>
      <c r="Z107" s="412"/>
      <c r="AA107" s="428"/>
      <c r="AB107" s="38">
        <v>13</v>
      </c>
      <c r="AC107" s="74">
        <f t="shared" si="13"/>
        <v>-0.23529411764705882</v>
      </c>
      <c r="AD107" s="75">
        <v>146</v>
      </c>
      <c r="AE107" s="9">
        <f t="shared" si="9"/>
        <v>-0.1933701657458563</v>
      </c>
      <c r="AF107" s="77">
        <v>1</v>
      </c>
      <c r="AG107" s="9"/>
    </row>
    <row r="108" spans="1:33" s="152" customFormat="1" ht="13.5" customHeight="1">
      <c r="A108" s="461"/>
      <c r="B108" s="15" t="s">
        <v>25</v>
      </c>
      <c r="C108" s="5">
        <v>1305418</v>
      </c>
      <c r="D108" s="74">
        <f t="shared" si="17"/>
        <v>5.137524977267767E-2</v>
      </c>
      <c r="E108" s="178"/>
      <c r="F108" s="5">
        <v>26902</v>
      </c>
      <c r="G108" s="134">
        <f t="shared" si="20"/>
        <v>0.20259275815824762</v>
      </c>
      <c r="H108" s="482">
        <v>53999</v>
      </c>
      <c r="I108" s="481">
        <f>(H108-H96)/H96</f>
        <v>-0.14287301587301587</v>
      </c>
      <c r="J108" s="426"/>
      <c r="K108" s="415"/>
      <c r="L108" s="3">
        <v>197</v>
      </c>
      <c r="M108" s="74">
        <f t="shared" si="19"/>
        <v>-0.430635838150289</v>
      </c>
      <c r="N108" s="3">
        <v>1601</v>
      </c>
      <c r="O108" s="9"/>
      <c r="P108" s="3"/>
      <c r="Q108" s="9"/>
      <c r="R108" s="3"/>
      <c r="S108" s="9"/>
      <c r="T108" s="38">
        <v>19410</v>
      </c>
      <c r="U108" s="9">
        <f t="shared" si="16"/>
        <v>0.22136924238610622</v>
      </c>
      <c r="V108" s="38">
        <v>1842</v>
      </c>
      <c r="W108" s="9">
        <f t="shared" si="11"/>
        <v>-0.16462585034013605</v>
      </c>
      <c r="X108" s="3">
        <v>4703</v>
      </c>
      <c r="Y108" s="9">
        <f t="shared" si="21"/>
        <v>-6.6494640730448584E-2</v>
      </c>
      <c r="Z108" s="412">
        <v>8218</v>
      </c>
      <c r="AA108" s="422"/>
      <c r="AB108" s="38">
        <v>16</v>
      </c>
      <c r="AC108" s="9">
        <f t="shared" si="13"/>
        <v>-0.36</v>
      </c>
      <c r="AD108" s="5">
        <v>221</v>
      </c>
      <c r="AE108" s="9">
        <f t="shared" si="9"/>
        <v>-0.21071428571428574</v>
      </c>
      <c r="AF108" s="3">
        <v>30</v>
      </c>
      <c r="AG108" s="74">
        <f t="shared" ref="AG108:AG113" si="22">(AF108-AF96)/AF96</f>
        <v>4</v>
      </c>
    </row>
    <row r="109" spans="1:33" s="152" customFormat="1" ht="13.5" customHeight="1">
      <c r="A109" s="461"/>
      <c r="B109" s="73" t="s">
        <v>26</v>
      </c>
      <c r="C109" s="68">
        <v>1334651</v>
      </c>
      <c r="D109" s="74">
        <f t="shared" si="17"/>
        <v>7.0098987990911008E-2</v>
      </c>
      <c r="E109" s="178"/>
      <c r="F109" s="68">
        <v>23714</v>
      </c>
      <c r="G109" s="134">
        <f t="shared" si="20"/>
        <v>0.32118780990584428</v>
      </c>
      <c r="H109" s="482"/>
      <c r="I109" s="481"/>
      <c r="J109" s="426"/>
      <c r="K109" s="415"/>
      <c r="L109" s="77">
        <v>140</v>
      </c>
      <c r="M109" s="74">
        <f t="shared" si="19"/>
        <v>-0.20454545454545456</v>
      </c>
      <c r="N109" s="77">
        <v>2191</v>
      </c>
      <c r="O109" s="74"/>
      <c r="P109" s="77"/>
      <c r="Q109" s="9"/>
      <c r="R109" s="77"/>
      <c r="S109" s="9"/>
      <c r="T109" s="38">
        <v>18231</v>
      </c>
      <c r="U109" s="74">
        <f t="shared" si="16"/>
        <v>0.17422388251964446</v>
      </c>
      <c r="V109" s="38">
        <v>2585</v>
      </c>
      <c r="W109" s="74">
        <f t="shared" si="11"/>
        <v>8.294930875576037E-2</v>
      </c>
      <c r="X109" s="77">
        <v>3588</v>
      </c>
      <c r="Y109" s="74">
        <f t="shared" si="21"/>
        <v>-0.16441546343735444</v>
      </c>
      <c r="Z109" s="412"/>
      <c r="AA109" s="422"/>
      <c r="AB109" s="38">
        <v>13</v>
      </c>
      <c r="AC109" s="74">
        <f t="shared" si="13"/>
        <v>-0.1875</v>
      </c>
      <c r="AD109" s="68">
        <v>161</v>
      </c>
      <c r="AE109" s="9">
        <f t="shared" si="9"/>
        <v>0.67708333333333326</v>
      </c>
      <c r="AF109" s="77">
        <v>3</v>
      </c>
      <c r="AG109" s="74">
        <f t="shared" si="22"/>
        <v>-0.25</v>
      </c>
    </row>
    <row r="110" spans="1:33" s="152" customFormat="1" ht="13.5" customHeight="1">
      <c r="A110" s="461"/>
      <c r="B110" s="73" t="s">
        <v>27</v>
      </c>
      <c r="C110" s="68">
        <v>1059709</v>
      </c>
      <c r="D110" s="74">
        <f t="shared" si="17"/>
        <v>4.5586266301071425E-2</v>
      </c>
      <c r="E110" s="178"/>
      <c r="F110" s="68">
        <v>19323</v>
      </c>
      <c r="G110" s="134">
        <f t="shared" si="20"/>
        <v>7.5711184100651252E-2</v>
      </c>
      <c r="H110" s="482"/>
      <c r="I110" s="481"/>
      <c r="J110" s="426"/>
      <c r="K110" s="415"/>
      <c r="L110" s="77">
        <v>86</v>
      </c>
      <c r="M110" s="74">
        <f t="shared" si="19"/>
        <v>0.26470588235294118</v>
      </c>
      <c r="N110" s="77">
        <v>1602</v>
      </c>
      <c r="O110" s="74"/>
      <c r="P110" s="77"/>
      <c r="Q110" s="9"/>
      <c r="R110" s="77"/>
      <c r="S110" s="9"/>
      <c r="T110" s="38">
        <v>10064</v>
      </c>
      <c r="U110" s="74">
        <f t="shared" si="16"/>
        <v>-7.2698792960471756E-2</v>
      </c>
      <c r="V110" s="38">
        <v>1204</v>
      </c>
      <c r="W110" s="74">
        <f t="shared" si="11"/>
        <v>-4.0637450199203187E-2</v>
      </c>
      <c r="X110" s="77">
        <v>3050</v>
      </c>
      <c r="Y110" s="74">
        <f t="shared" si="21"/>
        <v>0.25256673511293637</v>
      </c>
      <c r="Z110" s="412"/>
      <c r="AA110" s="422"/>
      <c r="AB110" s="38">
        <v>6</v>
      </c>
      <c r="AC110" s="74">
        <f t="shared" si="13"/>
        <v>2</v>
      </c>
      <c r="AD110" s="68">
        <v>124</v>
      </c>
      <c r="AE110" s="9">
        <f t="shared" si="9"/>
        <v>0.2277227722772277</v>
      </c>
      <c r="AF110" s="77">
        <v>6</v>
      </c>
      <c r="AG110" s="74">
        <f t="shared" si="22"/>
        <v>-0.82857142857142863</v>
      </c>
    </row>
    <row r="111" spans="1:33" s="152" customFormat="1" ht="13.5" customHeight="1">
      <c r="A111" s="461"/>
      <c r="B111" s="15" t="s">
        <v>28</v>
      </c>
      <c r="C111" s="5">
        <v>1154742</v>
      </c>
      <c r="D111" s="74">
        <f t="shared" si="17"/>
        <v>0.11829779321685588</v>
      </c>
      <c r="E111" s="178"/>
      <c r="F111" s="5">
        <v>16732</v>
      </c>
      <c r="G111" s="134">
        <f t="shared" si="20"/>
        <v>0.128557938756239</v>
      </c>
      <c r="H111" s="482">
        <v>46656</v>
      </c>
      <c r="I111" s="481">
        <f>(H111-H99)/H99</f>
        <v>1.5920000000000001</v>
      </c>
      <c r="J111" s="426"/>
      <c r="K111" s="415"/>
      <c r="L111" s="3">
        <v>136</v>
      </c>
      <c r="M111" s="74">
        <f t="shared" si="19"/>
        <v>1.4727272727272727</v>
      </c>
      <c r="N111" s="3">
        <v>2022</v>
      </c>
      <c r="O111" s="9"/>
      <c r="P111" s="3"/>
      <c r="Q111" s="9"/>
      <c r="R111" s="3"/>
      <c r="S111" s="9"/>
      <c r="T111" s="38">
        <v>11494</v>
      </c>
      <c r="U111" s="9">
        <f t="shared" si="16"/>
        <v>0.14254473161033798</v>
      </c>
      <c r="V111" s="38">
        <v>912</v>
      </c>
      <c r="W111" s="9">
        <f t="shared" si="11"/>
        <v>0.19215686274509805</v>
      </c>
      <c r="X111" s="3">
        <v>1769</v>
      </c>
      <c r="Y111" s="9">
        <f t="shared" si="21"/>
        <v>2.9685681024447033E-2</v>
      </c>
      <c r="Z111" s="412">
        <v>5602</v>
      </c>
      <c r="AA111" s="9"/>
      <c r="AB111" s="38">
        <v>8</v>
      </c>
      <c r="AC111" s="9">
        <f t="shared" si="13"/>
        <v>0.14285714285714285</v>
      </c>
      <c r="AD111" s="5">
        <v>166</v>
      </c>
      <c r="AE111" s="9">
        <f t="shared" si="9"/>
        <v>0.59615384615384626</v>
      </c>
      <c r="AF111" s="3">
        <v>7</v>
      </c>
      <c r="AG111" s="74">
        <f t="shared" si="22"/>
        <v>6</v>
      </c>
    </row>
    <row r="112" spans="1:33" s="152" customFormat="1" ht="13.5" customHeight="1">
      <c r="A112" s="461"/>
      <c r="B112" s="15" t="s">
        <v>29</v>
      </c>
      <c r="C112" s="5">
        <v>1117550</v>
      </c>
      <c r="D112" s="74">
        <f t="shared" si="17"/>
        <v>0.14708161620930865</v>
      </c>
      <c r="E112" s="178"/>
      <c r="F112" s="5">
        <v>13795</v>
      </c>
      <c r="G112" s="134">
        <f t="shared" si="20"/>
        <v>0.1017490615765515</v>
      </c>
      <c r="H112" s="482"/>
      <c r="I112" s="481"/>
      <c r="J112" s="426"/>
      <c r="K112" s="415"/>
      <c r="L112" s="3">
        <v>51</v>
      </c>
      <c r="M112" s="74">
        <f t="shared" si="19"/>
        <v>-0.72727272727272729</v>
      </c>
      <c r="N112" s="3">
        <v>870</v>
      </c>
      <c r="O112" s="9"/>
      <c r="P112" s="3"/>
      <c r="Q112" s="9"/>
      <c r="R112" s="3"/>
      <c r="S112" s="9"/>
      <c r="T112" s="38">
        <v>9411</v>
      </c>
      <c r="U112" s="9">
        <f t="shared" si="16"/>
        <v>0.71389546530686576</v>
      </c>
      <c r="V112" s="38">
        <v>860</v>
      </c>
      <c r="W112" s="9">
        <f t="shared" si="11"/>
        <v>0.32921174652241114</v>
      </c>
      <c r="X112" s="3">
        <v>1766</v>
      </c>
      <c r="Y112" s="9">
        <f t="shared" si="21"/>
        <v>0.18048128342245989</v>
      </c>
      <c r="Z112" s="412"/>
      <c r="AA112" s="9"/>
      <c r="AB112" s="38">
        <v>1</v>
      </c>
      <c r="AC112" s="9">
        <f t="shared" si="13"/>
        <v>-0.875</v>
      </c>
      <c r="AD112" s="5">
        <v>99</v>
      </c>
      <c r="AE112" s="9">
        <f t="shared" si="9"/>
        <v>5.3191489361702038E-2</v>
      </c>
      <c r="AF112" s="3">
        <v>5</v>
      </c>
      <c r="AG112" s="74">
        <f t="shared" si="22"/>
        <v>1.5</v>
      </c>
    </row>
    <row r="113" spans="1:33" s="152" customFormat="1" ht="13.5" customHeight="1">
      <c r="A113" s="462"/>
      <c r="B113" s="41" t="s">
        <v>30</v>
      </c>
      <c r="C113" s="5">
        <v>1169970</v>
      </c>
      <c r="D113" s="74">
        <f t="shared" si="17"/>
        <v>0.1463011733722106</v>
      </c>
      <c r="E113" s="178"/>
      <c r="F113" s="5">
        <v>11808</v>
      </c>
      <c r="G113" s="134">
        <f t="shared" si="20"/>
        <v>0.10200653289780681</v>
      </c>
      <c r="H113" s="482"/>
      <c r="I113" s="483"/>
      <c r="J113" s="433"/>
      <c r="K113" s="416"/>
      <c r="L113" s="3">
        <v>6</v>
      </c>
      <c r="M113" s="74">
        <f t="shared" si="19"/>
        <v>0.2</v>
      </c>
      <c r="N113" s="18">
        <v>427</v>
      </c>
      <c r="O113" s="19"/>
      <c r="P113" s="3"/>
      <c r="Q113" s="9"/>
      <c r="R113" s="3"/>
      <c r="S113" s="9"/>
      <c r="T113" s="46">
        <v>8572</v>
      </c>
      <c r="U113" s="9">
        <f t="shared" si="16"/>
        <v>0.60584488572499062</v>
      </c>
      <c r="V113" s="46">
        <v>821</v>
      </c>
      <c r="W113" s="9">
        <f t="shared" si="11"/>
        <v>0.603515625</v>
      </c>
      <c r="X113" s="3">
        <v>1018</v>
      </c>
      <c r="Y113" s="9">
        <f t="shared" si="21"/>
        <v>-4.8875855327468231E-3</v>
      </c>
      <c r="Z113" s="413"/>
      <c r="AA113" s="19"/>
      <c r="AB113" s="46">
        <v>3</v>
      </c>
      <c r="AC113" s="9">
        <f t="shared" si="13"/>
        <v>-0.4</v>
      </c>
      <c r="AD113" s="5">
        <v>118</v>
      </c>
      <c r="AE113" s="19">
        <f t="shared" si="9"/>
        <v>1.4081632653061225</v>
      </c>
      <c r="AF113" s="3">
        <v>1</v>
      </c>
      <c r="AG113" s="74">
        <f t="shared" si="22"/>
        <v>-0.5</v>
      </c>
    </row>
    <row r="114" spans="1:33" s="152" customFormat="1" ht="13.5">
      <c r="A114" s="457" t="s">
        <v>65</v>
      </c>
      <c r="B114" s="2" t="s">
        <v>35</v>
      </c>
      <c r="C114" s="25">
        <v>1425900</v>
      </c>
      <c r="D114" s="24">
        <f t="shared" si="17"/>
        <v>0.18747616136817508</v>
      </c>
      <c r="E114" s="178"/>
      <c r="F114" s="25">
        <v>16280</v>
      </c>
      <c r="G114" s="135">
        <f t="shared" si="20"/>
        <v>0.174433703650267</v>
      </c>
      <c r="H114" s="486">
        <v>58322</v>
      </c>
      <c r="I114" s="481">
        <f>(H114-H102)/H102</f>
        <v>0.98488922165878234</v>
      </c>
      <c r="J114" s="486">
        <v>15986</v>
      </c>
      <c r="K114" s="420">
        <v>0.13700000000000001</v>
      </c>
      <c r="L114" s="25">
        <v>15</v>
      </c>
      <c r="M114" s="24">
        <f t="shared" si="19"/>
        <v>1.1428571428571428</v>
      </c>
      <c r="N114" s="38">
        <v>486</v>
      </c>
      <c r="O114" s="24">
        <f t="shared" ref="O114:O124" si="23">(N114/N102-1)</f>
        <v>1.1315789473684212</v>
      </c>
      <c r="P114" s="25">
        <v>5</v>
      </c>
      <c r="Q114" s="24"/>
      <c r="R114" s="25">
        <v>0</v>
      </c>
      <c r="S114" s="24"/>
      <c r="T114" s="29">
        <v>8727</v>
      </c>
      <c r="U114" s="24">
        <f t="shared" si="16"/>
        <v>0.32167196728759656</v>
      </c>
      <c r="V114" s="29">
        <v>811</v>
      </c>
      <c r="W114" s="24">
        <f t="shared" si="11"/>
        <v>0.17196531791907516</v>
      </c>
      <c r="X114" s="25">
        <v>1579</v>
      </c>
      <c r="Y114" s="24">
        <f>(X114-X102)/X102</f>
        <v>0.33587140439932317</v>
      </c>
      <c r="Z114" s="411">
        <v>13731</v>
      </c>
      <c r="AA114" s="414">
        <f>Z114/Z102-1</f>
        <v>6.819181698196175E-3</v>
      </c>
      <c r="AB114" s="29">
        <v>6</v>
      </c>
      <c r="AC114" s="24">
        <f t="shared" si="13"/>
        <v>2</v>
      </c>
      <c r="AD114" s="25">
        <v>88</v>
      </c>
      <c r="AE114" s="24">
        <f t="shared" si="9"/>
        <v>6.024096385542177E-2</v>
      </c>
      <c r="AF114" s="25">
        <v>1</v>
      </c>
      <c r="AG114" s="24">
        <f>(AF114-AF102)/AF102</f>
        <v>-0.8</v>
      </c>
    </row>
    <row r="115" spans="1:33" s="152" customFormat="1" ht="13.5">
      <c r="A115" s="461"/>
      <c r="B115" s="15" t="s">
        <v>36</v>
      </c>
      <c r="C115" s="5">
        <v>1184807</v>
      </c>
      <c r="D115" s="9">
        <f t="shared" si="17"/>
        <v>2.9967818042412029E-2</v>
      </c>
      <c r="E115" s="178"/>
      <c r="F115" s="5">
        <v>14067</v>
      </c>
      <c r="G115" s="134">
        <f t="shared" ref="G115:G121" si="24">(F115/F103-1)</f>
        <v>-4.8691418137553288E-2</v>
      </c>
      <c r="H115" s="482"/>
      <c r="I115" s="481"/>
      <c r="J115" s="482"/>
      <c r="K115" s="410"/>
      <c r="L115" s="5">
        <v>5</v>
      </c>
      <c r="M115" s="9">
        <f t="shared" si="19"/>
        <v>-0.16666666666666666</v>
      </c>
      <c r="N115" s="38">
        <v>529</v>
      </c>
      <c r="O115" s="9">
        <f t="shared" si="23"/>
        <v>5.1511627906976747</v>
      </c>
      <c r="P115" s="5">
        <v>84</v>
      </c>
      <c r="Q115" s="9"/>
      <c r="R115" s="5">
        <v>7</v>
      </c>
      <c r="S115" s="9"/>
      <c r="T115" s="38">
        <v>7489</v>
      </c>
      <c r="U115" s="9">
        <f t="shared" si="16"/>
        <v>0.8002403846153846</v>
      </c>
      <c r="V115" s="38">
        <v>653</v>
      </c>
      <c r="W115" s="9">
        <f t="shared" si="11"/>
        <v>2.3510971786833857E-2</v>
      </c>
      <c r="X115" s="5">
        <v>1843</v>
      </c>
      <c r="Y115" s="9">
        <f t="shared" si="21"/>
        <v>1.6178977272727273</v>
      </c>
      <c r="Z115" s="412"/>
      <c r="AA115" s="415"/>
      <c r="AB115" s="38">
        <v>1</v>
      </c>
      <c r="AC115" s="9">
        <f t="shared" si="13"/>
        <v>-0.91666666666666663</v>
      </c>
      <c r="AD115" s="5">
        <v>124</v>
      </c>
      <c r="AE115" s="9">
        <f t="shared" si="9"/>
        <v>0.53086419753086411</v>
      </c>
      <c r="AF115" s="5">
        <v>0</v>
      </c>
      <c r="AG115" s="137">
        <v>0</v>
      </c>
    </row>
    <row r="116" spans="1:33" s="152" customFormat="1" ht="13.5">
      <c r="A116" s="461"/>
      <c r="B116" s="15" t="s">
        <v>21</v>
      </c>
      <c r="C116" s="5">
        <v>1113946</v>
      </c>
      <c r="D116" s="9">
        <f t="shared" si="17"/>
        <v>9.322715888481499E-2</v>
      </c>
      <c r="E116" s="178"/>
      <c r="F116" s="5">
        <v>16246</v>
      </c>
      <c r="G116" s="134">
        <f t="shared" si="24"/>
        <v>0.24729366602687142</v>
      </c>
      <c r="H116" s="482"/>
      <c r="I116" s="481"/>
      <c r="J116" s="482"/>
      <c r="K116" s="410"/>
      <c r="L116" s="5">
        <v>80</v>
      </c>
      <c r="M116" s="9">
        <f t="shared" si="19"/>
        <v>2.6363636363636362</v>
      </c>
      <c r="N116" s="38">
        <v>1204</v>
      </c>
      <c r="O116" s="9">
        <f t="shared" si="23"/>
        <v>1.6461538461538461</v>
      </c>
      <c r="P116" s="5">
        <v>139</v>
      </c>
      <c r="Q116" s="9"/>
      <c r="R116" s="5">
        <v>33</v>
      </c>
      <c r="S116" s="9"/>
      <c r="T116" s="38">
        <v>11208</v>
      </c>
      <c r="U116" s="9">
        <f t="shared" si="16"/>
        <v>0.62741396834615948</v>
      </c>
      <c r="V116" s="38">
        <v>633</v>
      </c>
      <c r="W116" s="9">
        <f t="shared" si="11"/>
        <v>-4.2360060514372161E-2</v>
      </c>
      <c r="X116" s="5">
        <v>1060</v>
      </c>
      <c r="Y116" s="9">
        <f t="shared" si="21"/>
        <v>0.49295774647887325</v>
      </c>
      <c r="Z116" s="412"/>
      <c r="AA116" s="415"/>
      <c r="AB116" s="38">
        <v>9</v>
      </c>
      <c r="AC116" s="9">
        <f t="shared" si="13"/>
        <v>8</v>
      </c>
      <c r="AD116" s="5">
        <v>240</v>
      </c>
      <c r="AE116" s="9">
        <f t="shared" si="9"/>
        <v>0.17647058823529416</v>
      </c>
      <c r="AF116" s="5">
        <v>2</v>
      </c>
      <c r="AG116" s="9">
        <f>(AF116-AF104)/AF104</f>
        <v>0</v>
      </c>
    </row>
    <row r="117" spans="1:33" s="152" customFormat="1" ht="13.5">
      <c r="A117" s="461"/>
      <c r="B117" s="73" t="s">
        <v>22</v>
      </c>
      <c r="C117" s="5">
        <f>Asia!C117</f>
        <v>1097420</v>
      </c>
      <c r="D117" s="9">
        <f t="shared" si="17"/>
        <v>7.733312390479509E-2</v>
      </c>
      <c r="E117" s="178"/>
      <c r="F117" s="68">
        <v>18060</v>
      </c>
      <c r="G117" s="134">
        <f t="shared" si="24"/>
        <v>0.23715577476366634</v>
      </c>
      <c r="H117" s="482">
        <v>43957</v>
      </c>
      <c r="I117" s="481">
        <f>(H117-H105)/H105</f>
        <v>0.12531360401413139</v>
      </c>
      <c r="J117" s="482">
        <v>30642</v>
      </c>
      <c r="K117" s="410"/>
      <c r="L117" s="68">
        <v>176</v>
      </c>
      <c r="M117" s="9">
        <f t="shared" si="19"/>
        <v>-0.21777777777777776</v>
      </c>
      <c r="N117" s="68">
        <v>2476</v>
      </c>
      <c r="O117" s="9">
        <f t="shared" si="23"/>
        <v>0.81524926686217003</v>
      </c>
      <c r="P117" s="68">
        <v>796</v>
      </c>
      <c r="Q117" s="9"/>
      <c r="R117" s="68">
        <v>189</v>
      </c>
      <c r="S117" s="9"/>
      <c r="T117" s="38">
        <v>11948</v>
      </c>
      <c r="U117" s="74">
        <f t="shared" si="16"/>
        <v>6.8216361198033079E-2</v>
      </c>
      <c r="V117" s="38">
        <v>754</v>
      </c>
      <c r="W117" s="74">
        <f t="shared" si="11"/>
        <v>9.4339622641509441E-2</v>
      </c>
      <c r="X117" s="68">
        <v>1853</v>
      </c>
      <c r="Y117" s="74">
        <f t="shared" si="21"/>
        <v>0.58647260273972601</v>
      </c>
      <c r="Z117" s="412"/>
      <c r="AA117" s="415"/>
      <c r="AB117" s="38">
        <v>7</v>
      </c>
      <c r="AC117" s="74">
        <f t="shared" si="13"/>
        <v>-0.65</v>
      </c>
      <c r="AD117" s="68">
        <v>130</v>
      </c>
      <c r="AE117" s="9">
        <f t="shared" si="9"/>
        <v>-0.16129032258064513</v>
      </c>
      <c r="AF117" s="68">
        <v>8</v>
      </c>
      <c r="AG117" s="9">
        <f>(AF117-AF105)/AF105</f>
        <v>7</v>
      </c>
    </row>
    <row r="118" spans="1:33" s="152" customFormat="1" ht="13.5">
      <c r="A118" s="461"/>
      <c r="B118" s="15" t="s">
        <v>23</v>
      </c>
      <c r="C118" s="5">
        <v>1185405</v>
      </c>
      <c r="D118" s="9">
        <f t="shared" si="17"/>
        <v>8.0637221386571853E-2</v>
      </c>
      <c r="E118" s="178"/>
      <c r="F118" s="5">
        <v>19010</v>
      </c>
      <c r="G118" s="134">
        <f t="shared" si="24"/>
        <v>-4.0044437711457825E-2</v>
      </c>
      <c r="H118" s="482"/>
      <c r="I118" s="481"/>
      <c r="J118" s="482"/>
      <c r="K118" s="410"/>
      <c r="L118" s="5">
        <v>277</v>
      </c>
      <c r="M118" s="9">
        <f t="shared" si="19"/>
        <v>2.4624999999999999</v>
      </c>
      <c r="N118" s="5">
        <v>4264</v>
      </c>
      <c r="O118" s="9">
        <f t="shared" si="23"/>
        <v>0.30637254901960786</v>
      </c>
      <c r="P118" s="5">
        <v>2398</v>
      </c>
      <c r="Q118" s="9"/>
      <c r="R118" s="5">
        <v>397</v>
      </c>
      <c r="S118" s="9"/>
      <c r="T118" s="38">
        <v>17427</v>
      </c>
      <c r="U118" s="9">
        <f t="shared" si="16"/>
        <v>0.17543504653986242</v>
      </c>
      <c r="V118" s="38">
        <v>1637</v>
      </c>
      <c r="W118" s="9">
        <f t="shared" si="11"/>
        <v>0.6256206554121152</v>
      </c>
      <c r="X118" s="5">
        <v>2976</v>
      </c>
      <c r="Y118" s="9">
        <f t="shared" si="21"/>
        <v>3.082784897817804E-2</v>
      </c>
      <c r="Z118" s="412"/>
      <c r="AA118" s="415"/>
      <c r="AB118" s="38">
        <v>6</v>
      </c>
      <c r="AC118" s="9">
        <f t="shared" si="13"/>
        <v>-0.14285714285714285</v>
      </c>
      <c r="AD118" s="5">
        <v>226</v>
      </c>
      <c r="AE118" s="9">
        <f t="shared" si="9"/>
        <v>0.10784313725490202</v>
      </c>
      <c r="AF118" s="5">
        <v>0</v>
      </c>
      <c r="AG118" s="9">
        <f>(AF118-AF106)/AF106</f>
        <v>-1</v>
      </c>
    </row>
    <row r="119" spans="1:33" s="152" customFormat="1" ht="13.5">
      <c r="A119" s="461"/>
      <c r="B119" s="73" t="s">
        <v>24</v>
      </c>
      <c r="C119" s="68">
        <v>1221491</v>
      </c>
      <c r="D119" s="9">
        <f t="shared" si="17"/>
        <v>0.10116355486881949</v>
      </c>
      <c r="E119" s="178"/>
      <c r="F119" s="68">
        <v>21718</v>
      </c>
      <c r="G119" s="134">
        <f t="shared" si="24"/>
        <v>9.9144693557366326E-2</v>
      </c>
      <c r="H119" s="482"/>
      <c r="I119" s="481"/>
      <c r="J119" s="482"/>
      <c r="K119" s="410"/>
      <c r="L119" s="68">
        <v>213</v>
      </c>
      <c r="M119" s="9">
        <f t="shared" si="19"/>
        <v>-4.4843049327354258E-2</v>
      </c>
      <c r="N119" s="68">
        <v>2411</v>
      </c>
      <c r="O119" s="9">
        <f t="shared" si="23"/>
        <v>8.6525461919783719E-2</v>
      </c>
      <c r="P119" s="68">
        <v>2008</v>
      </c>
      <c r="Q119" s="74"/>
      <c r="R119" s="68">
        <v>259</v>
      </c>
      <c r="S119" s="74"/>
      <c r="T119" s="38">
        <v>20754</v>
      </c>
      <c r="U119" s="74">
        <f t="shared" si="16"/>
        <v>0.48105330764290299</v>
      </c>
      <c r="V119" s="38">
        <v>2187</v>
      </c>
      <c r="W119" s="74">
        <f t="shared" si="11"/>
        <v>0.28798586572438162</v>
      </c>
      <c r="X119" s="68">
        <v>6371</v>
      </c>
      <c r="Y119" s="9">
        <f t="shared" si="21"/>
        <v>0.17828740521546144</v>
      </c>
      <c r="Z119" s="412"/>
      <c r="AA119" s="415"/>
      <c r="AB119" s="38">
        <v>3</v>
      </c>
      <c r="AC119" s="74">
        <f t="shared" si="13"/>
        <v>-0.76923076923076927</v>
      </c>
      <c r="AD119" s="68">
        <v>246</v>
      </c>
      <c r="AE119" s="9">
        <f t="shared" si="9"/>
        <v>0.68493150684931514</v>
      </c>
      <c r="AF119" s="68"/>
      <c r="AG119" s="74"/>
    </row>
    <row r="120" spans="1:33" s="152" customFormat="1" ht="13.5">
      <c r="A120" s="461"/>
      <c r="B120" s="15" t="s">
        <v>25</v>
      </c>
      <c r="C120" s="5">
        <v>1417422</v>
      </c>
      <c r="D120" s="9">
        <f t="shared" si="17"/>
        <v>8.5799337836616321E-2</v>
      </c>
      <c r="E120" s="178"/>
      <c r="F120" s="5">
        <v>30333</v>
      </c>
      <c r="G120" s="134">
        <f t="shared" si="24"/>
        <v>0.12753698609768782</v>
      </c>
      <c r="H120" s="482">
        <v>68281</v>
      </c>
      <c r="I120" s="481">
        <f>(H120-H108)/H108</f>
        <v>0.26448637937739589</v>
      </c>
      <c r="J120" s="482">
        <v>41854</v>
      </c>
      <c r="K120" s="410"/>
      <c r="L120" s="5">
        <v>165</v>
      </c>
      <c r="M120" s="9">
        <f t="shared" si="19"/>
        <v>-0.16243654822335024</v>
      </c>
      <c r="N120" s="5">
        <v>2736</v>
      </c>
      <c r="O120" s="9">
        <f t="shared" si="23"/>
        <v>0.70893191755153029</v>
      </c>
      <c r="P120" s="5">
        <v>1034</v>
      </c>
      <c r="Q120" s="74"/>
      <c r="R120" s="5">
        <v>72</v>
      </c>
      <c r="S120" s="74"/>
      <c r="T120" s="38">
        <v>25262</v>
      </c>
      <c r="U120" s="9">
        <f t="shared" si="16"/>
        <v>0.30149407521895932</v>
      </c>
      <c r="V120" s="38">
        <v>1901</v>
      </c>
      <c r="W120" s="9">
        <f t="shared" si="11"/>
        <v>3.2030401737242128E-2</v>
      </c>
      <c r="X120" s="5">
        <v>3201</v>
      </c>
      <c r="Y120" s="9">
        <f t="shared" si="21"/>
        <v>-0.3193706145013821</v>
      </c>
      <c r="Z120" s="412">
        <v>9369</v>
      </c>
      <c r="AA120" s="488">
        <f>Z120/Z108-1</f>
        <v>0.14005840837186656</v>
      </c>
      <c r="AB120" s="38">
        <v>9</v>
      </c>
      <c r="AC120" s="9">
        <f t="shared" si="13"/>
        <v>-0.4375</v>
      </c>
      <c r="AD120" s="5">
        <v>438</v>
      </c>
      <c r="AE120" s="9">
        <f t="shared" si="9"/>
        <v>0.98190045248868785</v>
      </c>
      <c r="AF120" s="5"/>
      <c r="AG120" s="74"/>
    </row>
    <row r="121" spans="1:33" s="152" customFormat="1" ht="13.5">
      <c r="A121" s="461"/>
      <c r="B121" s="73" t="s">
        <v>26</v>
      </c>
      <c r="C121" s="68">
        <v>1407186</v>
      </c>
      <c r="D121" s="9">
        <f t="shared" si="17"/>
        <v>5.4347541042564687E-2</v>
      </c>
      <c r="E121" s="178"/>
      <c r="F121" s="68">
        <v>23376</v>
      </c>
      <c r="G121" s="134">
        <f t="shared" si="24"/>
        <v>-1.4253183773298428E-2</v>
      </c>
      <c r="H121" s="482"/>
      <c r="I121" s="481"/>
      <c r="J121" s="482"/>
      <c r="K121" s="410"/>
      <c r="L121" s="68">
        <v>258</v>
      </c>
      <c r="M121" s="9">
        <f t="shared" si="19"/>
        <v>0.84285714285714286</v>
      </c>
      <c r="N121" s="68">
        <v>2238</v>
      </c>
      <c r="O121" s="9">
        <f t="shared" si="23"/>
        <v>2.1451392058420726E-2</v>
      </c>
      <c r="P121" s="68">
        <v>1312</v>
      </c>
      <c r="Q121" s="74"/>
      <c r="R121" s="68">
        <v>109</v>
      </c>
      <c r="S121" s="74"/>
      <c r="T121" s="38">
        <v>22925</v>
      </c>
      <c r="U121" s="74">
        <f t="shared" si="16"/>
        <v>0.25747353409028578</v>
      </c>
      <c r="V121" s="38">
        <v>2123</v>
      </c>
      <c r="W121" s="74">
        <f t="shared" si="11"/>
        <v>-0.17872340425531916</v>
      </c>
      <c r="X121" s="68">
        <v>5244</v>
      </c>
      <c r="Y121" s="9">
        <f t="shared" si="21"/>
        <v>0.46153846153846156</v>
      </c>
      <c r="Z121" s="412"/>
      <c r="AA121" s="488"/>
      <c r="AB121" s="38">
        <v>21</v>
      </c>
      <c r="AC121" s="74">
        <f t="shared" si="13"/>
        <v>0.61538461538461542</v>
      </c>
      <c r="AD121" s="68">
        <v>273</v>
      </c>
      <c r="AE121" s="9">
        <f t="shared" si="9"/>
        <v>0.69565217391304346</v>
      </c>
      <c r="AF121" s="68"/>
      <c r="AG121" s="74"/>
    </row>
    <row r="122" spans="1:33" s="152" customFormat="1" ht="13.5">
      <c r="A122" s="461"/>
      <c r="B122" s="73" t="s">
        <v>27</v>
      </c>
      <c r="C122" s="68">
        <v>1195238</v>
      </c>
      <c r="D122" s="9">
        <f t="shared" si="17"/>
        <v>0.12789265732385022</v>
      </c>
      <c r="E122" s="178"/>
      <c r="F122" s="68">
        <v>19877</v>
      </c>
      <c r="G122" s="134">
        <f>(F122/F110-1)</f>
        <v>2.8670496299746384E-2</v>
      </c>
      <c r="H122" s="482"/>
      <c r="I122" s="481"/>
      <c r="J122" s="482"/>
      <c r="K122" s="410"/>
      <c r="L122" s="68">
        <v>119</v>
      </c>
      <c r="M122" s="9">
        <f t="shared" si="19"/>
        <v>0.38372093023255816</v>
      </c>
      <c r="N122" s="68">
        <v>2347</v>
      </c>
      <c r="O122" s="9">
        <f t="shared" si="23"/>
        <v>0.46504369538077395</v>
      </c>
      <c r="P122" s="68">
        <v>1625</v>
      </c>
      <c r="Q122" s="74"/>
      <c r="R122" s="68">
        <v>145</v>
      </c>
      <c r="S122" s="74"/>
      <c r="T122" s="38">
        <v>17354</v>
      </c>
      <c r="U122" s="74">
        <f t="shared" si="16"/>
        <v>0.72436406995230529</v>
      </c>
      <c r="V122" s="38">
        <v>2254</v>
      </c>
      <c r="W122" s="74">
        <f t="shared" si="11"/>
        <v>0.87209302325581395</v>
      </c>
      <c r="X122" s="68">
        <v>2603</v>
      </c>
      <c r="Y122" s="9">
        <f t="shared" si="21"/>
        <v>-0.14655737704918032</v>
      </c>
      <c r="Z122" s="412"/>
      <c r="AA122" s="488"/>
      <c r="AB122" s="38">
        <v>3</v>
      </c>
      <c r="AC122" s="74">
        <f t="shared" si="13"/>
        <v>-0.5</v>
      </c>
      <c r="AD122" s="68">
        <v>176</v>
      </c>
      <c r="AE122" s="9">
        <f t="shared" si="9"/>
        <v>0.41935483870967749</v>
      </c>
      <c r="AF122" s="68"/>
      <c r="AG122" s="74"/>
    </row>
    <row r="123" spans="1:33" s="152" customFormat="1" ht="13.5">
      <c r="A123" s="461"/>
      <c r="B123" s="15" t="s">
        <v>28</v>
      </c>
      <c r="C123" s="5">
        <v>1239143</v>
      </c>
      <c r="D123" s="9">
        <f t="shared" si="17"/>
        <v>7.3090785647356729E-2</v>
      </c>
      <c r="E123" s="178"/>
      <c r="F123" s="5">
        <v>20913</v>
      </c>
      <c r="G123" s="134">
        <f>(F123/F111-1)</f>
        <v>0.24988046856323209</v>
      </c>
      <c r="H123" s="482">
        <v>38326</v>
      </c>
      <c r="I123" s="481">
        <f>(H123-H111)/H111</f>
        <v>-0.17854080932784636</v>
      </c>
      <c r="J123" s="482">
        <v>19460</v>
      </c>
      <c r="K123" s="410"/>
      <c r="L123" s="5">
        <v>387</v>
      </c>
      <c r="M123" s="9">
        <f t="shared" si="19"/>
        <v>1.8455882352941178</v>
      </c>
      <c r="N123" s="5">
        <v>2979</v>
      </c>
      <c r="O123" s="9">
        <f t="shared" si="23"/>
        <v>0.47329376854599414</v>
      </c>
      <c r="P123" s="5">
        <v>1833</v>
      </c>
      <c r="Q123" s="74"/>
      <c r="R123" s="5">
        <v>260</v>
      </c>
      <c r="S123" s="74"/>
      <c r="T123" s="5">
        <v>16278</v>
      </c>
      <c r="U123" s="9">
        <f t="shared" si="16"/>
        <v>0.41621715677744908</v>
      </c>
      <c r="V123" s="5">
        <v>1218</v>
      </c>
      <c r="W123" s="9">
        <f t="shared" si="11"/>
        <v>0.33552631578947367</v>
      </c>
      <c r="X123" s="5">
        <v>1742</v>
      </c>
      <c r="Y123" s="9">
        <f t="shared" si="21"/>
        <v>-1.5262860373092142E-2</v>
      </c>
      <c r="Z123" s="412">
        <v>4079</v>
      </c>
      <c r="AA123" s="473">
        <f>Z123/Z111-1</f>
        <v>-0.27186719028918238</v>
      </c>
      <c r="AB123" s="5">
        <v>14</v>
      </c>
      <c r="AC123" s="9">
        <f t="shared" si="13"/>
        <v>0.75</v>
      </c>
      <c r="AD123" s="5">
        <v>237</v>
      </c>
      <c r="AE123" s="9">
        <f t="shared" si="9"/>
        <v>0.42771084337349397</v>
      </c>
      <c r="AF123" s="5"/>
      <c r="AG123" s="74"/>
    </row>
    <row r="124" spans="1:33" s="152" customFormat="1" ht="13.5">
      <c r="A124" s="461"/>
      <c r="B124" s="15" t="s">
        <v>29</v>
      </c>
      <c r="C124" s="5">
        <v>1154064</v>
      </c>
      <c r="D124" s="9">
        <f t="shared" si="17"/>
        <v>3.2673258467182678E-2</v>
      </c>
      <c r="E124" s="178"/>
      <c r="F124" s="5">
        <v>15527</v>
      </c>
      <c r="G124" s="134">
        <f>(F124/F112-1)</f>
        <v>0.12555273649873144</v>
      </c>
      <c r="H124" s="482"/>
      <c r="I124" s="481"/>
      <c r="J124" s="482"/>
      <c r="K124" s="410"/>
      <c r="L124" s="5">
        <v>97</v>
      </c>
      <c r="M124" s="9">
        <f t="shared" si="19"/>
        <v>0.90196078431372551</v>
      </c>
      <c r="N124" s="5">
        <v>856</v>
      </c>
      <c r="O124" s="9">
        <f t="shared" si="23"/>
        <v>-1.6091954022988464E-2</v>
      </c>
      <c r="P124" s="5">
        <v>264</v>
      </c>
      <c r="Q124" s="74"/>
      <c r="R124" s="5">
        <v>43</v>
      </c>
      <c r="S124" s="74"/>
      <c r="T124" s="5">
        <v>11810</v>
      </c>
      <c r="U124" s="9">
        <f t="shared" si="16"/>
        <v>0.25491446180002125</v>
      </c>
      <c r="V124" s="5">
        <v>842</v>
      </c>
      <c r="W124" s="9">
        <f t="shared" si="11"/>
        <v>-2.0930232558139535E-2</v>
      </c>
      <c r="X124" s="5">
        <v>1689</v>
      </c>
      <c r="Y124" s="9">
        <f t="shared" si="21"/>
        <v>-4.3601359003397511E-2</v>
      </c>
      <c r="Z124" s="412"/>
      <c r="AA124" s="473"/>
      <c r="AB124" s="5">
        <v>13</v>
      </c>
      <c r="AC124" s="9">
        <f t="shared" si="13"/>
        <v>12</v>
      </c>
      <c r="AD124" s="5">
        <v>129</v>
      </c>
      <c r="AE124" s="9">
        <f t="shared" si="9"/>
        <v>0.30303030303030298</v>
      </c>
      <c r="AF124" s="5"/>
      <c r="AG124" s="74"/>
    </row>
    <row r="125" spans="1:33" s="152" customFormat="1" ht="13.5">
      <c r="A125" s="462"/>
      <c r="B125" s="41" t="s">
        <v>30</v>
      </c>
      <c r="C125" s="5">
        <v>1204463</v>
      </c>
      <c r="D125" s="9">
        <f t="shared" si="17"/>
        <v>2.9481952528697317E-2</v>
      </c>
      <c r="E125" s="178"/>
      <c r="F125" s="5">
        <v>13458</v>
      </c>
      <c r="G125" s="134">
        <f>(F125/F113-1)</f>
        <v>0.1397357723577235</v>
      </c>
      <c r="H125" s="482"/>
      <c r="I125" s="483"/>
      <c r="J125" s="482"/>
      <c r="K125" s="492"/>
      <c r="L125" s="5">
        <v>3</v>
      </c>
      <c r="M125" s="9">
        <f t="shared" si="19"/>
        <v>-0.5</v>
      </c>
      <c r="N125" s="5">
        <v>698</v>
      </c>
      <c r="O125" s="9">
        <f>(N125/N113-1)</f>
        <v>0.63466042154566749</v>
      </c>
      <c r="P125" s="5">
        <v>94</v>
      </c>
      <c r="Q125" s="74"/>
      <c r="R125" s="5">
        <v>2</v>
      </c>
      <c r="S125" s="74"/>
      <c r="T125" s="5">
        <v>11260</v>
      </c>
      <c r="U125" s="9">
        <f t="shared" si="16"/>
        <v>0.31357909472701823</v>
      </c>
      <c r="V125" s="5">
        <v>842</v>
      </c>
      <c r="W125" s="9">
        <f t="shared" si="11"/>
        <v>2.5578562728380026E-2</v>
      </c>
      <c r="X125" s="5">
        <v>1042</v>
      </c>
      <c r="Y125" s="9">
        <f t="shared" si="21"/>
        <v>2.3575638506876228E-2</v>
      </c>
      <c r="Z125" s="412"/>
      <c r="AA125" s="473"/>
      <c r="AB125" s="5">
        <v>8</v>
      </c>
      <c r="AC125" s="199">
        <f t="shared" si="13"/>
        <v>1.6666666666666667</v>
      </c>
      <c r="AD125" s="5">
        <v>126</v>
      </c>
      <c r="AE125" s="9">
        <f>(AD125/AD113-1)</f>
        <v>6.7796610169491567E-2</v>
      </c>
      <c r="AF125" s="5"/>
      <c r="AG125" s="74"/>
    </row>
    <row r="126" spans="1:33" s="152" customFormat="1" ht="13.5">
      <c r="A126" s="457" t="s">
        <v>88</v>
      </c>
      <c r="B126" s="2" t="s">
        <v>35</v>
      </c>
      <c r="C126" s="25">
        <v>1468903</v>
      </c>
      <c r="D126" s="24">
        <f t="shared" ref="D126:D131" si="25">C126/C114-1</f>
        <v>3.015849638824597E-2</v>
      </c>
      <c r="E126" s="178"/>
      <c r="F126" s="25">
        <v>19021</v>
      </c>
      <c r="G126" s="24">
        <f t="shared" ref="G126:G137" si="26">F126/F114-1</f>
        <v>0.16836609336609332</v>
      </c>
      <c r="H126" s="486">
        <v>40154</v>
      </c>
      <c r="I126" s="481">
        <f>(H126-H114)/H114</f>
        <v>-0.3115119508933164</v>
      </c>
      <c r="J126" s="486">
        <v>24749</v>
      </c>
      <c r="K126" s="481">
        <f>(J126-J114)/J114</f>
        <v>0.54816714625297136</v>
      </c>
      <c r="L126" s="25">
        <v>17</v>
      </c>
      <c r="M126" s="24">
        <f t="shared" ref="M126:M144" si="27">L126/L114-1</f>
        <v>0.1333333333333333</v>
      </c>
      <c r="N126" s="25">
        <v>1454</v>
      </c>
      <c r="O126" s="24">
        <f t="shared" ref="O126:O160" si="28">N126/N114-1</f>
        <v>1.9917695473251027</v>
      </c>
      <c r="P126" s="25">
        <v>243</v>
      </c>
      <c r="Q126" s="24">
        <f t="shared" ref="Q126:Q148" si="29">P126/P114-1</f>
        <v>47.6</v>
      </c>
      <c r="R126" s="25">
        <v>33</v>
      </c>
      <c r="S126" s="138" t="s">
        <v>93</v>
      </c>
      <c r="T126" s="25">
        <v>14220</v>
      </c>
      <c r="U126" s="24">
        <f t="shared" ref="U126:U148" si="30">T126/T114-1</f>
        <v>0.62942591955998628</v>
      </c>
      <c r="V126" s="25">
        <v>1064</v>
      </c>
      <c r="W126" s="24">
        <f t="shared" ref="W126:W141" si="31">V126/V114-1</f>
        <v>0.31196054254007399</v>
      </c>
      <c r="X126" s="25">
        <v>1355</v>
      </c>
      <c r="Y126" s="28">
        <f>X126/X114-1</f>
        <v>-0.14186193793540214</v>
      </c>
      <c r="Z126" s="411">
        <v>3438</v>
      </c>
      <c r="AA126" s="489">
        <f>Z126/Z114-1</f>
        <v>-0.74961765348481535</v>
      </c>
      <c r="AB126" s="25">
        <v>0</v>
      </c>
      <c r="AC126" s="283">
        <f t="shared" si="13"/>
        <v>-1</v>
      </c>
      <c r="AD126" s="25">
        <v>305</v>
      </c>
      <c r="AE126" s="24">
        <f t="shared" ref="AE126:AE133" si="32">AD126/AD114-1</f>
        <v>2.4659090909090908</v>
      </c>
      <c r="AF126" s="25"/>
      <c r="AG126" s="24"/>
    </row>
    <row r="127" spans="1:33" s="152" customFormat="1" ht="13.5">
      <c r="A127" s="461"/>
      <c r="B127" s="15" t="s">
        <v>36</v>
      </c>
      <c r="C127" s="3">
        <v>1312683</v>
      </c>
      <c r="D127" s="9">
        <f t="shared" si="25"/>
        <v>0.10792981472931884</v>
      </c>
      <c r="E127" s="178"/>
      <c r="F127" s="5">
        <v>16661</v>
      </c>
      <c r="G127" s="134">
        <f t="shared" si="26"/>
        <v>0.1844032131940001</v>
      </c>
      <c r="H127" s="482"/>
      <c r="I127" s="481"/>
      <c r="J127" s="482"/>
      <c r="K127" s="481"/>
      <c r="L127" s="3">
        <v>3</v>
      </c>
      <c r="M127" s="74">
        <f t="shared" si="27"/>
        <v>-0.4</v>
      </c>
      <c r="N127" s="3">
        <v>1785</v>
      </c>
      <c r="O127" s="74">
        <f t="shared" si="28"/>
        <v>2.3742911153119093</v>
      </c>
      <c r="P127" s="3">
        <v>533</v>
      </c>
      <c r="Q127" s="74">
        <f t="shared" si="29"/>
        <v>5.3452380952380949</v>
      </c>
      <c r="R127" s="3">
        <v>39</v>
      </c>
      <c r="S127" s="74">
        <f t="shared" ref="S127:S149" si="33">R127/R115-1</f>
        <v>4.5714285714285712</v>
      </c>
      <c r="T127" s="3">
        <v>10462</v>
      </c>
      <c r="U127" s="74">
        <f t="shared" si="30"/>
        <v>0.39698224061957532</v>
      </c>
      <c r="V127" s="3">
        <v>1607</v>
      </c>
      <c r="W127" s="9">
        <f t="shared" si="31"/>
        <v>1.4609494640122511</v>
      </c>
      <c r="X127" s="3"/>
      <c r="Y127" s="76"/>
      <c r="Z127" s="412"/>
      <c r="AA127" s="488"/>
      <c r="AB127" s="3">
        <v>1</v>
      </c>
      <c r="AC127" s="284">
        <f t="shared" si="13"/>
        <v>0</v>
      </c>
      <c r="AD127" s="3">
        <v>170</v>
      </c>
      <c r="AE127" s="9">
        <f t="shared" si="32"/>
        <v>0.37096774193548376</v>
      </c>
      <c r="AF127" s="3"/>
      <c r="AG127" s="74"/>
    </row>
    <row r="128" spans="1:33" s="152" customFormat="1" ht="13.5">
      <c r="A128" s="461"/>
      <c r="B128" s="15" t="s">
        <v>21</v>
      </c>
      <c r="C128" s="3">
        <v>1150959</v>
      </c>
      <c r="D128" s="9">
        <f t="shared" si="25"/>
        <v>3.3226924824004023E-2</v>
      </c>
      <c r="E128" s="178"/>
      <c r="F128" s="5">
        <v>16467</v>
      </c>
      <c r="G128" s="134">
        <f t="shared" si="26"/>
        <v>1.3603348516557867E-2</v>
      </c>
      <c r="H128" s="482"/>
      <c r="I128" s="481"/>
      <c r="J128" s="482"/>
      <c r="K128" s="481"/>
      <c r="L128" s="3">
        <v>305</v>
      </c>
      <c r="M128" s="74">
        <f t="shared" si="27"/>
        <v>2.8125</v>
      </c>
      <c r="N128" s="3">
        <v>4300</v>
      </c>
      <c r="O128" s="74">
        <f t="shared" si="28"/>
        <v>2.5714285714285716</v>
      </c>
      <c r="P128" s="3">
        <v>1515</v>
      </c>
      <c r="Q128" s="74">
        <f t="shared" si="29"/>
        <v>9.899280575539569</v>
      </c>
      <c r="R128" s="3">
        <v>157</v>
      </c>
      <c r="S128" s="74">
        <f t="shared" si="33"/>
        <v>3.7575757575757578</v>
      </c>
      <c r="T128" s="3">
        <v>12382</v>
      </c>
      <c r="U128" s="74">
        <f t="shared" si="30"/>
        <v>0.1047466095645968</v>
      </c>
      <c r="V128" s="3">
        <v>984</v>
      </c>
      <c r="W128" s="9">
        <f t="shared" si="31"/>
        <v>0.55450236966824651</v>
      </c>
      <c r="X128" s="3"/>
      <c r="Y128" s="76"/>
      <c r="Z128" s="412"/>
      <c r="AA128" s="488"/>
      <c r="AB128" s="3">
        <v>3</v>
      </c>
      <c r="AC128" s="284">
        <f t="shared" si="13"/>
        <v>-0.66666666666666663</v>
      </c>
      <c r="AD128" s="3">
        <v>198</v>
      </c>
      <c r="AE128" s="9">
        <f t="shared" si="32"/>
        <v>-0.17500000000000004</v>
      </c>
      <c r="AF128" s="3"/>
      <c r="AG128" s="74"/>
    </row>
    <row r="129" spans="1:33" s="152" customFormat="1" ht="13.5">
      <c r="A129" s="461"/>
      <c r="B129" s="73" t="s">
        <v>22</v>
      </c>
      <c r="C129" s="3">
        <v>1179885</v>
      </c>
      <c r="D129" s="9">
        <f t="shared" si="25"/>
        <v>7.514442966229895E-2</v>
      </c>
      <c r="E129" s="178"/>
      <c r="F129" s="5">
        <v>19058</v>
      </c>
      <c r="G129" s="134">
        <f t="shared" si="26"/>
        <v>5.5260243632336614E-2</v>
      </c>
      <c r="H129" s="482">
        <v>57724</v>
      </c>
      <c r="I129" s="481">
        <f>(H129-H117)/H117</f>
        <v>0.31319243806447211</v>
      </c>
      <c r="J129" s="482">
        <v>38889</v>
      </c>
      <c r="K129" s="481">
        <f>(J129-J117)/J117</f>
        <v>0.26914039553553948</v>
      </c>
      <c r="L129" s="3">
        <v>435</v>
      </c>
      <c r="M129" s="74">
        <f t="shared" si="27"/>
        <v>1.4715909090909092</v>
      </c>
      <c r="N129" s="3">
        <v>5654</v>
      </c>
      <c r="O129" s="74">
        <f t="shared" si="28"/>
        <v>1.2835218093699514</v>
      </c>
      <c r="P129" s="3">
        <v>3399</v>
      </c>
      <c r="Q129" s="74">
        <f t="shared" si="29"/>
        <v>3.2701005025125625</v>
      </c>
      <c r="R129" s="3">
        <v>370</v>
      </c>
      <c r="S129" s="74">
        <f t="shared" si="33"/>
        <v>0.95767195767195767</v>
      </c>
      <c r="T129" s="3">
        <v>21883</v>
      </c>
      <c r="U129" s="74">
        <f t="shared" si="30"/>
        <v>0.83151991965182459</v>
      </c>
      <c r="V129" s="3">
        <v>899</v>
      </c>
      <c r="W129" s="9">
        <f t="shared" si="31"/>
        <v>0.19230769230769229</v>
      </c>
      <c r="X129" s="3"/>
      <c r="Y129" s="76"/>
      <c r="Z129" s="412">
        <v>5169</v>
      </c>
      <c r="AA129" s="488">
        <f>SUM(Z126:Z129)/Z114-1</f>
        <v>-0.37317019882018787</v>
      </c>
      <c r="AB129" s="3">
        <v>3</v>
      </c>
      <c r="AC129" s="284">
        <f t="shared" si="13"/>
        <v>-0.5714285714285714</v>
      </c>
      <c r="AD129" s="3">
        <v>193</v>
      </c>
      <c r="AE129" s="9">
        <f t="shared" si="32"/>
        <v>0.48461538461538467</v>
      </c>
      <c r="AF129" s="3"/>
      <c r="AG129" s="74"/>
    </row>
    <row r="130" spans="1:33" s="152" customFormat="1" ht="13.5">
      <c r="A130" s="461"/>
      <c r="B130" s="15" t="s">
        <v>23</v>
      </c>
      <c r="C130" s="3">
        <v>1223003</v>
      </c>
      <c r="D130" s="9">
        <f t="shared" si="25"/>
        <v>3.1717429907921701E-2</v>
      </c>
      <c r="E130" s="178"/>
      <c r="F130" s="5">
        <v>21521</v>
      </c>
      <c r="G130" s="134">
        <f t="shared" si="26"/>
        <v>0.13208837453971589</v>
      </c>
      <c r="H130" s="482"/>
      <c r="I130" s="481"/>
      <c r="J130" s="482"/>
      <c r="K130" s="481"/>
      <c r="L130" s="3">
        <v>655</v>
      </c>
      <c r="M130" s="74">
        <f t="shared" si="27"/>
        <v>1.3646209386281587</v>
      </c>
      <c r="N130" s="3">
        <v>7258</v>
      </c>
      <c r="O130" s="74">
        <f t="shared" si="28"/>
        <v>0.70215759849906201</v>
      </c>
      <c r="P130" s="3">
        <v>4726</v>
      </c>
      <c r="Q130" s="74">
        <f t="shared" si="29"/>
        <v>0.97080900750625521</v>
      </c>
      <c r="R130" s="3">
        <v>561</v>
      </c>
      <c r="S130" s="74">
        <f t="shared" si="33"/>
        <v>0.41309823677581869</v>
      </c>
      <c r="T130" s="3">
        <v>21625</v>
      </c>
      <c r="U130" s="74">
        <f t="shared" si="30"/>
        <v>0.24089057210076326</v>
      </c>
      <c r="V130" s="3">
        <v>1159</v>
      </c>
      <c r="W130" s="9">
        <f t="shared" si="31"/>
        <v>-0.29199755650580328</v>
      </c>
      <c r="X130" s="3"/>
      <c r="Y130" s="76"/>
      <c r="Z130" s="412"/>
      <c r="AA130" s="488"/>
      <c r="AB130" s="3">
        <v>17</v>
      </c>
      <c r="AC130" s="284">
        <f t="shared" ref="AC130:AC146" si="34">(AB130-AB118)/AB118</f>
        <v>1.8333333333333333</v>
      </c>
      <c r="AD130" s="3">
        <v>254</v>
      </c>
      <c r="AE130" s="9">
        <f t="shared" si="32"/>
        <v>0.12389380530973448</v>
      </c>
      <c r="AF130" s="3"/>
      <c r="AG130" s="74"/>
    </row>
    <row r="131" spans="1:33" s="152" customFormat="1" ht="13.5">
      <c r="A131" s="461"/>
      <c r="B131" s="73" t="s">
        <v>24</v>
      </c>
      <c r="C131" s="3">
        <v>1270439</v>
      </c>
      <c r="D131" s="9">
        <f t="shared" si="25"/>
        <v>4.0072337823201298E-2</v>
      </c>
      <c r="E131" s="178"/>
      <c r="F131" s="5">
        <v>22293</v>
      </c>
      <c r="G131" s="134">
        <f t="shared" si="26"/>
        <v>2.6475734413850205E-2</v>
      </c>
      <c r="H131" s="482"/>
      <c r="I131" s="481"/>
      <c r="J131" s="482"/>
      <c r="K131" s="481"/>
      <c r="L131" s="3">
        <v>536</v>
      </c>
      <c r="M131" s="74">
        <f t="shared" si="27"/>
        <v>1.516431924882629</v>
      </c>
      <c r="N131" s="3">
        <v>6732</v>
      </c>
      <c r="O131" s="74">
        <f t="shared" si="28"/>
        <v>1.792202405640813</v>
      </c>
      <c r="P131" s="3">
        <v>3233</v>
      </c>
      <c r="Q131" s="74">
        <f t="shared" si="29"/>
        <v>0.61005976095617531</v>
      </c>
      <c r="R131" s="3">
        <v>494</v>
      </c>
      <c r="S131" s="74">
        <f t="shared" si="33"/>
        <v>0.9073359073359073</v>
      </c>
      <c r="T131" s="3">
        <v>20718</v>
      </c>
      <c r="U131" s="74">
        <f t="shared" si="30"/>
        <v>-1.7346053772766545E-3</v>
      </c>
      <c r="V131" s="3">
        <v>2168</v>
      </c>
      <c r="W131" s="9">
        <f t="shared" si="31"/>
        <v>-8.6877000457247222E-3</v>
      </c>
      <c r="X131" s="3"/>
      <c r="Y131" s="76"/>
      <c r="Z131" s="412"/>
      <c r="AA131" s="488"/>
      <c r="AB131" s="3">
        <v>8</v>
      </c>
      <c r="AC131" s="284">
        <f t="shared" si="34"/>
        <v>1.6666666666666667</v>
      </c>
      <c r="AD131" s="3">
        <v>223</v>
      </c>
      <c r="AE131" s="9">
        <f t="shared" si="32"/>
        <v>-9.3495934959349603E-2</v>
      </c>
      <c r="AF131" s="3"/>
      <c r="AG131" s="74"/>
    </row>
    <row r="132" spans="1:33" s="152" customFormat="1" ht="13.5">
      <c r="A132" s="461"/>
      <c r="B132" s="15" t="s">
        <v>25</v>
      </c>
      <c r="C132" s="3">
        <v>1454795</v>
      </c>
      <c r="D132" s="9">
        <f t="shared" ref="D132:D137" si="35">C132/C120-1</f>
        <v>2.6366882974865558E-2</v>
      </c>
      <c r="E132" s="178"/>
      <c r="F132" s="5">
        <v>29670</v>
      </c>
      <c r="G132" s="134">
        <f t="shared" si="26"/>
        <v>-2.1857383048165313E-2</v>
      </c>
      <c r="H132" s="482">
        <v>81687</v>
      </c>
      <c r="I132" s="481">
        <f>(H132-H120)/H120</f>
        <v>0.19633573029100335</v>
      </c>
      <c r="J132" s="482">
        <v>50423</v>
      </c>
      <c r="K132" s="481">
        <f>(J132-J120)/J120</f>
        <v>0.20473550915085775</v>
      </c>
      <c r="L132" s="3">
        <v>305</v>
      </c>
      <c r="M132" s="74">
        <f t="shared" si="27"/>
        <v>0.8484848484848484</v>
      </c>
      <c r="N132" s="3">
        <v>6450</v>
      </c>
      <c r="O132" s="74">
        <f t="shared" si="28"/>
        <v>1.3574561403508771</v>
      </c>
      <c r="P132" s="3">
        <v>2050</v>
      </c>
      <c r="Q132" s="74">
        <f t="shared" si="29"/>
        <v>0.98259187620889743</v>
      </c>
      <c r="R132" s="3">
        <v>389</v>
      </c>
      <c r="S132" s="74">
        <f t="shared" si="33"/>
        <v>4.4027777777777777</v>
      </c>
      <c r="T132" s="3">
        <v>29979</v>
      </c>
      <c r="U132" s="74">
        <f t="shared" si="30"/>
        <v>0.18672314147731761</v>
      </c>
      <c r="V132" s="3">
        <v>1890</v>
      </c>
      <c r="W132" s="9">
        <f t="shared" si="31"/>
        <v>-5.7864281956865327E-3</v>
      </c>
      <c r="X132" s="3"/>
      <c r="Y132" s="76"/>
      <c r="Z132" s="412">
        <v>4893</v>
      </c>
      <c r="AA132" s="488">
        <f>Z132/Z120-1</f>
        <v>-0.47774575728466218</v>
      </c>
      <c r="AB132" s="3">
        <v>25</v>
      </c>
      <c r="AC132" s="284">
        <f t="shared" si="34"/>
        <v>1.7777777777777777</v>
      </c>
      <c r="AD132" s="3">
        <f>1761-1343</f>
        <v>418</v>
      </c>
      <c r="AE132" s="9">
        <f t="shared" si="32"/>
        <v>-4.5662100456621002E-2</v>
      </c>
      <c r="AF132" s="3"/>
      <c r="AG132" s="74"/>
    </row>
    <row r="133" spans="1:33" s="152" customFormat="1" ht="13.5">
      <c r="A133" s="461"/>
      <c r="B133" s="73" t="s">
        <v>26</v>
      </c>
      <c r="C133" s="3">
        <v>1547193</v>
      </c>
      <c r="D133" s="9">
        <f t="shared" si="35"/>
        <v>9.9494309920650226E-2</v>
      </c>
      <c r="E133" s="178"/>
      <c r="F133" s="5">
        <v>26244</v>
      </c>
      <c r="G133" s="134">
        <f t="shared" si="26"/>
        <v>0.12268993839835729</v>
      </c>
      <c r="H133" s="482"/>
      <c r="I133" s="481"/>
      <c r="J133" s="482"/>
      <c r="K133" s="481"/>
      <c r="L133" s="3">
        <v>214</v>
      </c>
      <c r="M133" s="74">
        <f t="shared" si="27"/>
        <v>-0.1705426356589147</v>
      </c>
      <c r="N133" s="3">
        <v>7286</v>
      </c>
      <c r="O133" s="74">
        <f t="shared" si="28"/>
        <v>2.2555853440571938</v>
      </c>
      <c r="P133" s="3">
        <v>2430</v>
      </c>
      <c r="Q133" s="74">
        <f t="shared" si="29"/>
        <v>0.85213414634146334</v>
      </c>
      <c r="R133" s="3">
        <v>239</v>
      </c>
      <c r="S133" s="74">
        <f t="shared" si="33"/>
        <v>1.1926605504587156</v>
      </c>
      <c r="T133" s="3">
        <v>29206</v>
      </c>
      <c r="U133" s="74">
        <f t="shared" si="30"/>
        <v>0.27398037077426385</v>
      </c>
      <c r="V133" s="3">
        <v>2138</v>
      </c>
      <c r="W133" s="9">
        <f t="shared" si="31"/>
        <v>7.065473386716814E-3</v>
      </c>
      <c r="X133" s="3"/>
      <c r="Y133" s="76"/>
      <c r="Z133" s="412"/>
      <c r="AA133" s="488"/>
      <c r="AB133" s="3">
        <v>8</v>
      </c>
      <c r="AC133" s="284">
        <f t="shared" si="34"/>
        <v>-0.61904761904761907</v>
      </c>
      <c r="AD133" s="3">
        <v>428</v>
      </c>
      <c r="AE133" s="9">
        <f t="shared" si="32"/>
        <v>0.56776556776556775</v>
      </c>
      <c r="AF133" s="3"/>
      <c r="AG133" s="74"/>
    </row>
    <row r="134" spans="1:33" s="152" customFormat="1" ht="13.5">
      <c r="A134" s="461"/>
      <c r="B134" s="73" t="s">
        <v>27</v>
      </c>
      <c r="C134" s="3">
        <v>1321293</v>
      </c>
      <c r="D134" s="9">
        <f t="shared" si="35"/>
        <v>0.10546435103301599</v>
      </c>
      <c r="E134" s="178"/>
      <c r="F134" s="5">
        <v>26584</v>
      </c>
      <c r="G134" s="134">
        <f t="shared" si="26"/>
        <v>0.33742516476329421</v>
      </c>
      <c r="H134" s="482"/>
      <c r="I134" s="481"/>
      <c r="J134" s="482"/>
      <c r="K134" s="481"/>
      <c r="L134" s="3">
        <v>448</v>
      </c>
      <c r="M134" s="74">
        <f t="shared" si="27"/>
        <v>2.7647058823529411</v>
      </c>
      <c r="N134" s="3">
        <v>7924</v>
      </c>
      <c r="O134" s="74">
        <f t="shared" si="28"/>
        <v>2.3762249680443119</v>
      </c>
      <c r="P134" s="3">
        <v>2951</v>
      </c>
      <c r="Q134" s="74">
        <f t="shared" si="29"/>
        <v>0.81600000000000006</v>
      </c>
      <c r="R134" s="3">
        <v>307</v>
      </c>
      <c r="S134" s="74">
        <f t="shared" si="33"/>
        <v>1.1172413793103448</v>
      </c>
      <c r="T134" s="3">
        <v>21932</v>
      </c>
      <c r="U134" s="74">
        <f t="shared" si="30"/>
        <v>0.26380085282931898</v>
      </c>
      <c r="V134" s="3">
        <v>1197</v>
      </c>
      <c r="W134" s="9">
        <f t="shared" si="31"/>
        <v>-0.46894409937888204</v>
      </c>
      <c r="X134" s="3"/>
      <c r="Y134" s="76"/>
      <c r="Z134" s="412"/>
      <c r="AA134" s="488"/>
      <c r="AB134" s="3">
        <v>1</v>
      </c>
      <c r="AC134" s="284">
        <f t="shared" si="34"/>
        <v>-0.66666666666666663</v>
      </c>
      <c r="AD134" s="77"/>
      <c r="AE134" s="74"/>
      <c r="AF134" s="3"/>
      <c r="AG134" s="74"/>
    </row>
    <row r="135" spans="1:33" s="152" customFormat="1" ht="13.5">
      <c r="A135" s="461"/>
      <c r="B135" s="15" t="s">
        <v>28</v>
      </c>
      <c r="C135" s="3">
        <v>1432100</v>
      </c>
      <c r="D135" s="9">
        <f t="shared" si="35"/>
        <v>0.15571810517430196</v>
      </c>
      <c r="E135" s="178"/>
      <c r="F135" s="5">
        <v>22465</v>
      </c>
      <c r="G135" s="134">
        <f t="shared" si="26"/>
        <v>7.4212212499402241E-2</v>
      </c>
      <c r="H135" s="482">
        <v>31163</v>
      </c>
      <c r="I135" s="481">
        <f>(H135-H123)/H123</f>
        <v>-0.18689662370192558</v>
      </c>
      <c r="J135" s="482">
        <v>21615</v>
      </c>
      <c r="K135" s="481">
        <f>(J135-J123)/J123</f>
        <v>0.11073997944501542</v>
      </c>
      <c r="L135" s="3">
        <v>292</v>
      </c>
      <c r="M135" s="74">
        <f t="shared" si="27"/>
        <v>-0.24547803617571062</v>
      </c>
      <c r="N135" s="3">
        <v>7338</v>
      </c>
      <c r="O135" s="74">
        <f t="shared" si="28"/>
        <v>1.4632426988922456</v>
      </c>
      <c r="P135" s="3">
        <v>3026</v>
      </c>
      <c r="Q135" s="74">
        <f t="shared" si="29"/>
        <v>0.65084560829241678</v>
      </c>
      <c r="R135" s="3">
        <v>238</v>
      </c>
      <c r="S135" s="74">
        <f t="shared" si="33"/>
        <v>-8.4615384615384648E-2</v>
      </c>
      <c r="T135" s="3">
        <v>24230</v>
      </c>
      <c r="U135" s="74">
        <f t="shared" si="30"/>
        <v>0.48851210222386032</v>
      </c>
      <c r="V135" s="3">
        <v>1151</v>
      </c>
      <c r="W135" s="9">
        <f t="shared" si="31"/>
        <v>-5.5008210180623962E-2</v>
      </c>
      <c r="X135" s="3"/>
      <c r="Y135" s="76"/>
      <c r="Z135" s="412">
        <v>4246</v>
      </c>
      <c r="AA135" s="473">
        <f>Z135/Z123-1</f>
        <v>4.0941407207648828E-2</v>
      </c>
      <c r="AB135" s="3">
        <v>11</v>
      </c>
      <c r="AC135" s="284">
        <f t="shared" si="34"/>
        <v>-0.21428571428571427</v>
      </c>
      <c r="AD135" s="77"/>
      <c r="AE135" s="74"/>
      <c r="AF135" s="3"/>
      <c r="AG135" s="74"/>
    </row>
    <row r="136" spans="1:33" s="152" customFormat="1" ht="13.5">
      <c r="A136" s="461"/>
      <c r="B136" s="15" t="s">
        <v>29</v>
      </c>
      <c r="C136" s="3">
        <v>1288754</v>
      </c>
      <c r="D136" s="9">
        <f t="shared" si="35"/>
        <v>0.11670929861775425</v>
      </c>
      <c r="E136" s="178"/>
      <c r="F136" s="5">
        <v>18033</v>
      </c>
      <c r="G136" s="134">
        <f t="shared" si="26"/>
        <v>0.16139627745217999</v>
      </c>
      <c r="H136" s="482"/>
      <c r="I136" s="481"/>
      <c r="J136" s="482"/>
      <c r="K136" s="481"/>
      <c r="L136" s="3">
        <v>114</v>
      </c>
      <c r="M136" s="74">
        <f t="shared" si="27"/>
        <v>0.17525773195876293</v>
      </c>
      <c r="N136" s="3">
        <v>3064</v>
      </c>
      <c r="O136" s="74">
        <f t="shared" si="28"/>
        <v>2.5794392523364484</v>
      </c>
      <c r="P136" s="3">
        <v>2632</v>
      </c>
      <c r="Q136" s="74">
        <f t="shared" si="29"/>
        <v>8.9696969696969688</v>
      </c>
      <c r="R136" s="3">
        <v>179</v>
      </c>
      <c r="S136" s="74">
        <f t="shared" si="33"/>
        <v>3.1627906976744189</v>
      </c>
      <c r="T136" s="3">
        <v>14367</v>
      </c>
      <c r="U136" s="74">
        <f t="shared" si="30"/>
        <v>0.21651143099068593</v>
      </c>
      <c r="V136" s="3">
        <v>1147</v>
      </c>
      <c r="W136" s="9">
        <f t="shared" si="31"/>
        <v>0.36223277909738716</v>
      </c>
      <c r="X136" s="3"/>
      <c r="Y136" s="76"/>
      <c r="Z136" s="412"/>
      <c r="AA136" s="473"/>
      <c r="AB136" s="3">
        <v>8</v>
      </c>
      <c r="AC136" s="284">
        <f t="shared" si="34"/>
        <v>-0.38461538461538464</v>
      </c>
      <c r="AD136" s="77"/>
      <c r="AE136" s="74"/>
      <c r="AF136" s="3"/>
      <c r="AG136" s="74"/>
    </row>
    <row r="137" spans="1:33" s="152" customFormat="1" ht="13.5">
      <c r="A137" s="462"/>
      <c r="B137" s="15" t="s">
        <v>30</v>
      </c>
      <c r="C137" s="3">
        <v>1430677</v>
      </c>
      <c r="D137" s="9">
        <f t="shared" si="35"/>
        <v>0.18781315822901989</v>
      </c>
      <c r="E137" s="178"/>
      <c r="F137" s="5">
        <v>16315</v>
      </c>
      <c r="G137" s="220">
        <f t="shared" si="26"/>
        <v>0.21229008768019031</v>
      </c>
      <c r="H137" s="482"/>
      <c r="I137" s="483"/>
      <c r="J137" s="482"/>
      <c r="K137" s="483"/>
      <c r="L137" s="3">
        <v>40</v>
      </c>
      <c r="M137" s="85">
        <f t="shared" si="27"/>
        <v>12.333333333333334</v>
      </c>
      <c r="N137" s="3">
        <v>2457</v>
      </c>
      <c r="O137" s="85">
        <f t="shared" si="28"/>
        <v>2.5200573065902581</v>
      </c>
      <c r="P137" s="3">
        <v>737</v>
      </c>
      <c r="Q137" s="85">
        <f t="shared" si="29"/>
        <v>6.8404255319148932</v>
      </c>
      <c r="R137" s="3">
        <v>104</v>
      </c>
      <c r="S137" s="85">
        <f t="shared" si="33"/>
        <v>51</v>
      </c>
      <c r="T137" s="3">
        <v>13553</v>
      </c>
      <c r="U137" s="85">
        <f t="shared" si="30"/>
        <v>0.20364120781527539</v>
      </c>
      <c r="V137" s="3">
        <v>910</v>
      </c>
      <c r="W137" s="199">
        <f t="shared" si="31"/>
        <v>8.0760095011876532E-2</v>
      </c>
      <c r="X137" s="3"/>
      <c r="Y137" s="76"/>
      <c r="Z137" s="413"/>
      <c r="AA137" s="490"/>
      <c r="AB137" s="3">
        <v>4</v>
      </c>
      <c r="AC137" s="285">
        <f t="shared" si="34"/>
        <v>-0.5</v>
      </c>
      <c r="AD137" s="77"/>
      <c r="AE137" s="74"/>
      <c r="AF137" s="3"/>
      <c r="AG137" s="74"/>
    </row>
    <row r="138" spans="1:33" s="152" customFormat="1" ht="13.5">
      <c r="A138" s="457" t="s">
        <v>99</v>
      </c>
      <c r="B138" s="2" t="s">
        <v>35</v>
      </c>
      <c r="C138" s="25">
        <v>1834538</v>
      </c>
      <c r="D138" s="24">
        <f t="shared" ref="D138:D148" si="36">(C138-C126)/C126</f>
        <v>0.24891704898145078</v>
      </c>
      <c r="E138" s="178"/>
      <c r="F138" s="25">
        <v>24048</v>
      </c>
      <c r="G138" s="134">
        <f t="shared" ref="G138:G146" si="37">F138/F126-1</f>
        <v>0.26428684086010201</v>
      </c>
      <c r="H138" s="486">
        <v>46535</v>
      </c>
      <c r="I138" s="481">
        <f>(H138-H126)/H126</f>
        <v>0.15891318424067341</v>
      </c>
      <c r="J138" s="486">
        <v>15116</v>
      </c>
      <c r="K138" s="481">
        <f>(J138-J126)/J126</f>
        <v>-0.38922784758980161</v>
      </c>
      <c r="L138" s="25">
        <v>152</v>
      </c>
      <c r="M138" s="74">
        <f t="shared" si="27"/>
        <v>7.9411764705882355</v>
      </c>
      <c r="N138" s="25">
        <v>3268</v>
      </c>
      <c r="O138" s="74">
        <f t="shared" si="28"/>
        <v>1.247592847317744</v>
      </c>
      <c r="P138" s="25">
        <v>606</v>
      </c>
      <c r="Q138" s="200">
        <f t="shared" si="29"/>
        <v>1.4938271604938271</v>
      </c>
      <c r="R138" s="25">
        <v>39</v>
      </c>
      <c r="S138" s="74">
        <f t="shared" si="33"/>
        <v>0.18181818181818188</v>
      </c>
      <c r="T138" s="25">
        <v>18766</v>
      </c>
      <c r="U138" s="74">
        <f t="shared" si="30"/>
        <v>0.31969057665260192</v>
      </c>
      <c r="V138" s="25">
        <v>1232</v>
      </c>
      <c r="W138" s="198">
        <f t="shared" si="31"/>
        <v>0.15789473684210531</v>
      </c>
      <c r="X138" s="25"/>
      <c r="Y138" s="24"/>
      <c r="Z138" s="411">
        <v>2558</v>
      </c>
      <c r="AA138" s="487">
        <f>Z138/Z126-1</f>
        <v>-0.25596276905177429</v>
      </c>
      <c r="AB138" s="25">
        <v>0</v>
      </c>
      <c r="AC138" s="74">
        <v>0</v>
      </c>
      <c r="AD138" s="25"/>
      <c r="AE138" s="28"/>
      <c r="AF138" s="25"/>
      <c r="AG138" s="24"/>
    </row>
    <row r="139" spans="1:33" s="152" customFormat="1" ht="13.5">
      <c r="A139" s="461"/>
      <c r="B139" s="15" t="s">
        <v>36</v>
      </c>
      <c r="C139" s="3">
        <v>1445609</v>
      </c>
      <c r="D139" s="196">
        <f t="shared" si="36"/>
        <v>0.10126283344874581</v>
      </c>
      <c r="E139" s="178"/>
      <c r="F139" s="5">
        <v>19396</v>
      </c>
      <c r="G139" s="134">
        <f t="shared" si="37"/>
        <v>0.16415581297641202</v>
      </c>
      <c r="H139" s="482"/>
      <c r="I139" s="481"/>
      <c r="J139" s="482"/>
      <c r="K139" s="481"/>
      <c r="L139" s="7">
        <v>97</v>
      </c>
      <c r="M139" s="74">
        <f t="shared" si="27"/>
        <v>31.333333333333336</v>
      </c>
      <c r="N139" s="3">
        <v>2271</v>
      </c>
      <c r="O139" s="74">
        <f t="shared" si="28"/>
        <v>0.27226890756302513</v>
      </c>
      <c r="P139" s="3">
        <v>514</v>
      </c>
      <c r="Q139" s="74">
        <f t="shared" si="29"/>
        <v>-3.564727954971858E-2</v>
      </c>
      <c r="R139" s="3">
        <v>1</v>
      </c>
      <c r="S139" s="74">
        <f t="shared" si="33"/>
        <v>-0.97435897435897434</v>
      </c>
      <c r="T139" s="3">
        <v>15213</v>
      </c>
      <c r="U139" s="74">
        <f t="shared" si="30"/>
        <v>0.45411967119097696</v>
      </c>
      <c r="V139" s="3">
        <v>1802</v>
      </c>
      <c r="W139" s="219">
        <f t="shared" si="31"/>
        <v>0.12134411947728685</v>
      </c>
      <c r="X139" s="3"/>
      <c r="Y139" s="9"/>
      <c r="Z139" s="412"/>
      <c r="AA139" s="473"/>
      <c r="AB139" s="3">
        <v>9</v>
      </c>
      <c r="AC139" s="74">
        <f t="shared" si="34"/>
        <v>8</v>
      </c>
      <c r="AD139" s="7"/>
      <c r="AE139" s="9"/>
      <c r="AF139" s="3"/>
      <c r="AG139" s="9"/>
    </row>
    <row r="140" spans="1:33" s="152" customFormat="1" ht="13.5">
      <c r="A140" s="461"/>
      <c r="B140" s="15" t="s">
        <v>21</v>
      </c>
      <c r="C140" s="3">
        <v>1416683</v>
      </c>
      <c r="D140" s="219">
        <f t="shared" si="36"/>
        <v>0.23087182080334748</v>
      </c>
      <c r="E140" s="178"/>
      <c r="F140" s="5">
        <v>18959</v>
      </c>
      <c r="G140" s="134">
        <f t="shared" si="37"/>
        <v>0.15133296896823945</v>
      </c>
      <c r="H140" s="482"/>
      <c r="I140" s="481"/>
      <c r="J140" s="482"/>
      <c r="K140" s="481"/>
      <c r="L140" s="7">
        <v>368</v>
      </c>
      <c r="M140" s="74">
        <f t="shared" si="27"/>
        <v>0.20655737704918042</v>
      </c>
      <c r="N140" s="3">
        <v>4976</v>
      </c>
      <c r="O140" s="74">
        <f t="shared" si="28"/>
        <v>0.15720930232558139</v>
      </c>
      <c r="P140" s="3">
        <v>1619</v>
      </c>
      <c r="Q140" s="74">
        <f t="shared" si="29"/>
        <v>6.8646864686468634E-2</v>
      </c>
      <c r="R140" s="3">
        <v>88</v>
      </c>
      <c r="S140" s="74">
        <f t="shared" si="33"/>
        <v>-0.43949044585987262</v>
      </c>
      <c r="T140" s="3">
        <v>21411</v>
      </c>
      <c r="U140" s="74">
        <f t="shared" si="30"/>
        <v>0.72920368276530456</v>
      </c>
      <c r="V140" s="3">
        <v>897</v>
      </c>
      <c r="W140" s="221">
        <f t="shared" si="31"/>
        <v>-8.8414634146341431E-2</v>
      </c>
      <c r="X140" s="3"/>
      <c r="Y140" s="9"/>
      <c r="Z140" s="412"/>
      <c r="AA140" s="473"/>
      <c r="AB140" s="3">
        <v>14</v>
      </c>
      <c r="AC140" s="74">
        <f t="shared" si="34"/>
        <v>3.6666666666666665</v>
      </c>
      <c r="AD140" s="7"/>
      <c r="AE140" s="9"/>
      <c r="AF140" s="3"/>
      <c r="AG140" s="9"/>
    </row>
    <row r="141" spans="1:33" s="152" customFormat="1" ht="13.5">
      <c r="A141" s="461"/>
      <c r="B141" s="73" t="s">
        <v>22</v>
      </c>
      <c r="C141" s="3">
        <v>1495460</v>
      </c>
      <c r="D141" s="221">
        <f t="shared" si="36"/>
        <v>0.26746250693923562</v>
      </c>
      <c r="E141" s="178"/>
      <c r="F141" s="5">
        <v>21403</v>
      </c>
      <c r="G141" s="134">
        <f t="shared" si="37"/>
        <v>0.1230454402350718</v>
      </c>
      <c r="H141" s="482">
        <v>63215</v>
      </c>
      <c r="I141" s="481">
        <f>(H141-H129)/H129</f>
        <v>9.5125077957175522E-2</v>
      </c>
      <c r="J141" s="482">
        <f>53328-J138</f>
        <v>38212</v>
      </c>
      <c r="K141" s="481">
        <f>(J141-J129)/J129</f>
        <v>-1.740852168993803E-2</v>
      </c>
      <c r="L141" s="7">
        <v>538</v>
      </c>
      <c r="M141" s="74">
        <f t="shared" si="27"/>
        <v>0.23678160919540225</v>
      </c>
      <c r="N141" s="3">
        <v>10389</v>
      </c>
      <c r="O141" s="74">
        <f t="shared" si="28"/>
        <v>0.83746020516448527</v>
      </c>
      <c r="P141" s="3">
        <v>3662</v>
      </c>
      <c r="Q141" s="74">
        <f t="shared" si="29"/>
        <v>7.7375698734922116E-2</v>
      </c>
      <c r="R141" s="3">
        <v>200</v>
      </c>
      <c r="S141" s="74">
        <f t="shared" si="33"/>
        <v>-0.45945945945945943</v>
      </c>
      <c r="T141" s="3">
        <v>25782</v>
      </c>
      <c r="U141" s="74">
        <f t="shared" si="30"/>
        <v>0.17817483891605357</v>
      </c>
      <c r="V141" s="3">
        <v>984</v>
      </c>
      <c r="W141" s="227">
        <f t="shared" si="31"/>
        <v>9.4549499443826512E-2</v>
      </c>
      <c r="X141" s="3"/>
      <c r="Y141" s="9"/>
      <c r="Z141" s="412">
        <v>5932</v>
      </c>
      <c r="AA141" s="488">
        <f>Z141/Z129-1</f>
        <v>0.14761075643257882</v>
      </c>
      <c r="AB141" s="3">
        <v>0</v>
      </c>
      <c r="AC141" s="74">
        <f t="shared" si="34"/>
        <v>-1</v>
      </c>
      <c r="AD141" s="7"/>
      <c r="AE141" s="9"/>
      <c r="AF141" s="3"/>
      <c r="AG141" s="9"/>
    </row>
    <row r="142" spans="1:33" s="152" customFormat="1" ht="13.5">
      <c r="A142" s="461"/>
      <c r="B142" s="15" t="s">
        <v>23</v>
      </c>
      <c r="C142" s="3">
        <v>1579265</v>
      </c>
      <c r="D142" s="225">
        <f t="shared" si="36"/>
        <v>0.29130100253229141</v>
      </c>
      <c r="E142" s="178"/>
      <c r="F142" s="5">
        <v>24663</v>
      </c>
      <c r="G142" s="134">
        <f t="shared" si="37"/>
        <v>0.14599693322800977</v>
      </c>
      <c r="H142" s="482"/>
      <c r="I142" s="481"/>
      <c r="J142" s="482"/>
      <c r="K142" s="481"/>
      <c r="L142" s="7">
        <v>621</v>
      </c>
      <c r="M142" s="74">
        <f t="shared" si="27"/>
        <v>-5.1908396946564905E-2</v>
      </c>
      <c r="N142" s="3">
        <v>12354</v>
      </c>
      <c r="O142" s="74">
        <f t="shared" si="28"/>
        <v>0.7021217966381923</v>
      </c>
      <c r="P142" s="3">
        <v>4837</v>
      </c>
      <c r="Q142" s="74">
        <f t="shared" si="29"/>
        <v>2.3487092678798227E-2</v>
      </c>
      <c r="R142" s="3">
        <v>461</v>
      </c>
      <c r="S142" s="74">
        <f t="shared" si="33"/>
        <v>-0.17825311942958999</v>
      </c>
      <c r="T142" s="3">
        <v>28658</v>
      </c>
      <c r="U142" s="74">
        <f t="shared" si="30"/>
        <v>0.32522543352601163</v>
      </c>
      <c r="V142" s="3"/>
      <c r="W142" s="9"/>
      <c r="X142" s="3"/>
      <c r="Y142" s="9"/>
      <c r="Z142" s="412"/>
      <c r="AA142" s="488"/>
      <c r="AB142" s="3">
        <v>8</v>
      </c>
      <c r="AC142" s="74">
        <f t="shared" si="34"/>
        <v>-0.52941176470588236</v>
      </c>
      <c r="AD142" s="7"/>
      <c r="AE142" s="9"/>
      <c r="AF142" s="3"/>
      <c r="AG142" s="9"/>
    </row>
    <row r="143" spans="1:33" s="152" customFormat="1" ht="13.5">
      <c r="A143" s="461"/>
      <c r="B143" s="73" t="s">
        <v>24</v>
      </c>
      <c r="C143" s="3">
        <v>1373551</v>
      </c>
      <c r="D143" s="231">
        <f t="shared" si="36"/>
        <v>8.116249579869636E-2</v>
      </c>
      <c r="E143" s="178"/>
      <c r="F143" s="5">
        <v>28923</v>
      </c>
      <c r="G143" s="134">
        <f t="shared" si="37"/>
        <v>0.29740277217063649</v>
      </c>
      <c r="H143" s="482"/>
      <c r="I143" s="481"/>
      <c r="J143" s="482"/>
      <c r="K143" s="481"/>
      <c r="L143" s="7">
        <v>737</v>
      </c>
      <c r="M143" s="74">
        <f t="shared" si="27"/>
        <v>0.375</v>
      </c>
      <c r="N143" s="3">
        <v>12005</v>
      </c>
      <c r="O143" s="74">
        <f t="shared" si="28"/>
        <v>0.78327391562685689</v>
      </c>
      <c r="P143" s="3">
        <v>4646</v>
      </c>
      <c r="Q143" s="74">
        <f t="shared" si="29"/>
        <v>0.43705536653263222</v>
      </c>
      <c r="R143" s="3">
        <v>188</v>
      </c>
      <c r="S143" s="74">
        <f t="shared" si="33"/>
        <v>-0.61943319838056676</v>
      </c>
      <c r="T143" s="3">
        <v>26008</v>
      </c>
      <c r="U143" s="74">
        <f t="shared" si="30"/>
        <v>0.25533352640216234</v>
      </c>
      <c r="V143" s="3"/>
      <c r="W143" s="9"/>
      <c r="X143" s="3"/>
      <c r="Y143" s="9"/>
      <c r="Z143" s="412"/>
      <c r="AA143" s="488"/>
      <c r="AB143" s="3">
        <v>18</v>
      </c>
      <c r="AC143" s="74">
        <f t="shared" si="34"/>
        <v>1.25</v>
      </c>
      <c r="AD143" s="7"/>
      <c r="AE143" s="9"/>
      <c r="AF143" s="3"/>
      <c r="AG143" s="9"/>
    </row>
    <row r="144" spans="1:33" s="152" customFormat="1" ht="13.5">
      <c r="A144" s="461"/>
      <c r="B144" s="15" t="s">
        <v>25</v>
      </c>
      <c r="C144" s="90">
        <v>1675332</v>
      </c>
      <c r="D144" s="266">
        <f t="shared" si="36"/>
        <v>0.1515931797950914</v>
      </c>
      <c r="E144" s="178"/>
      <c r="F144" s="5">
        <v>36441</v>
      </c>
      <c r="G144" s="134">
        <f t="shared" si="37"/>
        <v>0.22821031344792719</v>
      </c>
      <c r="H144" s="482">
        <v>87924</v>
      </c>
      <c r="I144" s="481">
        <f>(H144-H132)/H132</f>
        <v>7.6352418377465203E-2</v>
      </c>
      <c r="J144" s="482">
        <f>115772-J141-J138</f>
        <v>62444</v>
      </c>
      <c r="K144" s="481">
        <f>(J144-J132)/J132</f>
        <v>0.23840310969200562</v>
      </c>
      <c r="L144" s="7">
        <v>308</v>
      </c>
      <c r="M144" s="74">
        <f t="shared" si="27"/>
        <v>9.8360655737705915E-3</v>
      </c>
      <c r="N144" s="3">
        <v>7695</v>
      </c>
      <c r="O144" s="74">
        <f t="shared" si="28"/>
        <v>0.19302325581395352</v>
      </c>
      <c r="P144" s="3">
        <v>2704</v>
      </c>
      <c r="Q144" s="74">
        <f t="shared" si="29"/>
        <v>0.3190243902439025</v>
      </c>
      <c r="R144" s="3">
        <v>245</v>
      </c>
      <c r="S144" s="74">
        <f t="shared" si="33"/>
        <v>-0.37017994858611825</v>
      </c>
      <c r="T144" s="3">
        <v>35190</v>
      </c>
      <c r="U144" s="74">
        <f t="shared" si="30"/>
        <v>0.17382167517262093</v>
      </c>
      <c r="V144" s="3"/>
      <c r="W144" s="9"/>
      <c r="X144" s="3"/>
      <c r="Y144" s="9"/>
      <c r="Z144" s="412">
        <v>5364</v>
      </c>
      <c r="AA144" s="488">
        <f>Z144/Z132-1</f>
        <v>9.6259963212752986E-2</v>
      </c>
      <c r="AB144" s="3">
        <v>4</v>
      </c>
      <c r="AC144" s="74">
        <f t="shared" si="34"/>
        <v>-0.84</v>
      </c>
      <c r="AD144" s="7"/>
      <c r="AE144" s="9"/>
      <c r="AF144" s="3"/>
      <c r="AG144" s="9"/>
    </row>
    <row r="145" spans="1:55" s="152" customFormat="1" ht="13.5">
      <c r="A145" s="461"/>
      <c r="B145" s="73" t="s">
        <v>26</v>
      </c>
      <c r="C145" s="90">
        <v>1835249</v>
      </c>
      <c r="D145" s="266">
        <f t="shared" si="36"/>
        <v>0.18617974615965815</v>
      </c>
      <c r="E145" s="178"/>
      <c r="F145" s="5">
        <v>30435</v>
      </c>
      <c r="G145" s="134">
        <f t="shared" si="37"/>
        <v>0.15969364426154553</v>
      </c>
      <c r="H145" s="482"/>
      <c r="I145" s="481"/>
      <c r="J145" s="482"/>
      <c r="K145" s="481"/>
      <c r="L145" s="7">
        <v>303</v>
      </c>
      <c r="M145" s="74">
        <f t="shared" ref="M145:M160" si="38">L145/L133-1</f>
        <v>0.41588785046728982</v>
      </c>
      <c r="N145" s="3">
        <v>8952</v>
      </c>
      <c r="O145" s="74">
        <f t="shared" si="28"/>
        <v>0.22865769969805116</v>
      </c>
      <c r="P145" s="3">
        <v>3076</v>
      </c>
      <c r="Q145" s="74">
        <f t="shared" si="29"/>
        <v>0.26584362139917705</v>
      </c>
      <c r="R145" s="3">
        <v>239</v>
      </c>
      <c r="S145" s="74">
        <f t="shared" si="33"/>
        <v>0</v>
      </c>
      <c r="T145" s="3">
        <v>30186</v>
      </c>
      <c r="U145" s="74">
        <f t="shared" si="30"/>
        <v>3.3554749024173214E-2</v>
      </c>
      <c r="V145" s="3"/>
      <c r="W145" s="9"/>
      <c r="X145" s="3"/>
      <c r="Y145" s="9"/>
      <c r="Z145" s="491"/>
      <c r="AA145" s="488"/>
      <c r="AB145" s="3">
        <v>7</v>
      </c>
      <c r="AC145" s="74">
        <f t="shared" si="34"/>
        <v>-0.125</v>
      </c>
      <c r="AD145" s="7"/>
      <c r="AE145" s="9"/>
      <c r="AF145" s="3"/>
      <c r="AG145" s="9"/>
    </row>
    <row r="146" spans="1:55" s="152" customFormat="1" ht="13.5">
      <c r="A146" s="461"/>
      <c r="B146" s="73" t="s">
        <v>27</v>
      </c>
      <c r="C146" s="90">
        <v>1511657</v>
      </c>
      <c r="D146" s="267">
        <f t="shared" si="36"/>
        <v>0.14407402445937426</v>
      </c>
      <c r="E146" s="178"/>
      <c r="F146" s="5">
        <v>26551</v>
      </c>
      <c r="G146" s="134">
        <f t="shared" si="37"/>
        <v>-1.24134817935595E-3</v>
      </c>
      <c r="H146" s="482"/>
      <c r="I146" s="481"/>
      <c r="J146" s="482"/>
      <c r="K146" s="481"/>
      <c r="L146" s="7">
        <v>226</v>
      </c>
      <c r="M146" s="74">
        <f t="shared" si="38"/>
        <v>-0.4955357142857143</v>
      </c>
      <c r="N146" s="3">
        <v>8251</v>
      </c>
      <c r="O146" s="74">
        <f t="shared" si="28"/>
        <v>4.1267036850075822E-2</v>
      </c>
      <c r="P146" s="3">
        <v>2986</v>
      </c>
      <c r="Q146" s="74">
        <f t="shared" si="29"/>
        <v>1.1860386309725524E-2</v>
      </c>
      <c r="R146" s="3">
        <v>194</v>
      </c>
      <c r="S146" s="74">
        <f t="shared" si="33"/>
        <v>-0.36807817589576552</v>
      </c>
      <c r="T146" s="3">
        <v>21834</v>
      </c>
      <c r="U146" s="74">
        <f t="shared" si="30"/>
        <v>-4.4683567390114698E-3</v>
      </c>
      <c r="V146" s="3"/>
      <c r="W146" s="9"/>
      <c r="X146" s="3"/>
      <c r="Y146" s="9"/>
      <c r="Z146" s="491"/>
      <c r="AA146" s="488"/>
      <c r="AB146" s="3">
        <v>15</v>
      </c>
      <c r="AC146" s="74">
        <f t="shared" si="34"/>
        <v>14</v>
      </c>
      <c r="AD146" s="7"/>
      <c r="AE146" s="9"/>
      <c r="AF146" s="3"/>
      <c r="AG146" s="9"/>
    </row>
    <row r="147" spans="1:55" s="152" customFormat="1" ht="13.5">
      <c r="A147" s="461"/>
      <c r="B147" s="15" t="s">
        <v>28</v>
      </c>
      <c r="C147" s="90">
        <v>1735308</v>
      </c>
      <c r="D147" s="39">
        <f t="shared" si="36"/>
        <v>0.21172264506668528</v>
      </c>
      <c r="E147" s="178"/>
      <c r="F147" s="5">
        <v>26778</v>
      </c>
      <c r="G147" s="9">
        <f t="shared" ref="G147:G159" si="39">F147/F135-1</f>
        <v>0.19198753616737152</v>
      </c>
      <c r="H147" s="482">
        <v>39689</v>
      </c>
      <c r="I147" s="481">
        <f>(H147-H135)/H135</f>
        <v>0.2735936848185348</v>
      </c>
      <c r="J147" s="482"/>
      <c r="K147" s="481"/>
      <c r="L147" s="7">
        <v>290</v>
      </c>
      <c r="M147" s="74">
        <f t="shared" si="38"/>
        <v>-6.8493150684931781E-3</v>
      </c>
      <c r="N147" s="3">
        <v>10582</v>
      </c>
      <c r="O147" s="74">
        <f t="shared" si="28"/>
        <v>0.44208231125647313</v>
      </c>
      <c r="P147" s="3">
        <v>3700</v>
      </c>
      <c r="Q147" s="74">
        <f t="shared" si="29"/>
        <v>0.22273628552544622</v>
      </c>
      <c r="R147" s="3">
        <v>132</v>
      </c>
      <c r="S147" s="74">
        <f t="shared" si="33"/>
        <v>-0.44537815126050417</v>
      </c>
      <c r="T147" s="3">
        <v>26608</v>
      </c>
      <c r="U147" s="74">
        <f t="shared" si="30"/>
        <v>9.8142798184069235E-2</v>
      </c>
      <c r="V147" s="3"/>
      <c r="W147" s="9"/>
      <c r="X147" s="3"/>
      <c r="Y147" s="9"/>
      <c r="Z147" s="412">
        <v>3883</v>
      </c>
      <c r="AA147" s="473">
        <f>Z147/Z135-1</f>
        <v>-8.5492227979274582E-2</v>
      </c>
      <c r="AB147" s="3">
        <v>7</v>
      </c>
      <c r="AC147" s="74">
        <f>(AB147-AB135)/AB135</f>
        <v>-0.36363636363636365</v>
      </c>
      <c r="AD147" s="7"/>
      <c r="AE147" s="9"/>
      <c r="AF147" s="3"/>
      <c r="AG147" s="9"/>
    </row>
    <row r="148" spans="1:55" s="152" customFormat="1" ht="13.5">
      <c r="A148" s="461"/>
      <c r="B148" s="15" t="s">
        <v>29</v>
      </c>
      <c r="C148" s="90">
        <v>1626063</v>
      </c>
      <c r="D148" s="39">
        <f t="shared" si="36"/>
        <v>0.26173265029633275</v>
      </c>
      <c r="E148" s="178"/>
      <c r="F148" s="5">
        <v>20304</v>
      </c>
      <c r="G148" s="9">
        <f t="shared" si="39"/>
        <v>0.12593578439527531</v>
      </c>
      <c r="H148" s="482"/>
      <c r="I148" s="481"/>
      <c r="J148" s="482"/>
      <c r="K148" s="481"/>
      <c r="L148" s="7">
        <v>49</v>
      </c>
      <c r="M148" s="74">
        <f t="shared" si="38"/>
        <v>-0.57017543859649122</v>
      </c>
      <c r="N148" s="3">
        <v>7042</v>
      </c>
      <c r="O148" s="74">
        <f t="shared" si="28"/>
        <v>1.298302872062663</v>
      </c>
      <c r="P148" s="3">
        <v>817</v>
      </c>
      <c r="Q148" s="74">
        <f t="shared" si="29"/>
        <v>-0.68958966565349544</v>
      </c>
      <c r="R148" s="3">
        <v>6</v>
      </c>
      <c r="S148" s="74">
        <f t="shared" si="33"/>
        <v>-0.96648044692737434</v>
      </c>
      <c r="T148" s="3">
        <v>14455</v>
      </c>
      <c r="U148" s="74">
        <f t="shared" si="30"/>
        <v>6.1251479084012406E-3</v>
      </c>
      <c r="V148" s="3"/>
      <c r="W148" s="9"/>
      <c r="X148" s="3"/>
      <c r="Y148" s="9"/>
      <c r="Z148" s="412"/>
      <c r="AA148" s="473"/>
      <c r="AB148" s="3"/>
      <c r="AC148" s="9"/>
      <c r="AD148" s="7"/>
      <c r="AE148" s="9"/>
      <c r="AF148" s="3"/>
      <c r="AG148" s="9"/>
    </row>
    <row r="149" spans="1:55" s="152" customFormat="1" ht="13.5">
      <c r="A149" s="461"/>
      <c r="B149" s="294" t="s">
        <v>30</v>
      </c>
      <c r="C149" s="280">
        <v>1781715</v>
      </c>
      <c r="D149" s="9">
        <f t="shared" ref="D149:D154" si="40">C149/C137-1</f>
        <v>0.24536495659048119</v>
      </c>
      <c r="E149" s="178"/>
      <c r="F149" s="5">
        <v>18999</v>
      </c>
      <c r="G149" s="9">
        <f t="shared" si="39"/>
        <v>0.16451118602513026</v>
      </c>
      <c r="H149" s="482"/>
      <c r="I149" s="483"/>
      <c r="J149" s="482"/>
      <c r="K149" s="483"/>
      <c r="L149" s="7">
        <v>15</v>
      </c>
      <c r="M149" s="9">
        <f t="shared" si="38"/>
        <v>-0.625</v>
      </c>
      <c r="N149" s="77">
        <v>4236</v>
      </c>
      <c r="O149" s="85">
        <f t="shared" si="28"/>
        <v>0.72405372405372415</v>
      </c>
      <c r="P149" s="3">
        <v>807</v>
      </c>
      <c r="Q149" s="9">
        <f t="shared" ref="Q149:Q159" si="41">P149/P137-1</f>
        <v>9.49796472184532E-2</v>
      </c>
      <c r="R149" s="3">
        <v>52</v>
      </c>
      <c r="S149" s="74">
        <f t="shared" si="33"/>
        <v>-0.5</v>
      </c>
      <c r="T149" s="3">
        <v>12921</v>
      </c>
      <c r="U149" s="76">
        <f t="shared" ref="U149:U160" si="42">T149/T137-1</f>
        <v>-4.663174204973064E-2</v>
      </c>
      <c r="V149" s="3"/>
      <c r="W149" s="9"/>
      <c r="X149" s="3"/>
      <c r="Y149" s="9"/>
      <c r="Z149" s="413"/>
      <c r="AA149" s="490"/>
      <c r="AB149" s="3"/>
      <c r="AC149" s="9"/>
      <c r="AD149" s="7"/>
      <c r="AE149" s="9"/>
      <c r="AF149" s="3"/>
      <c r="AG149" s="287"/>
    </row>
    <row r="150" spans="1:55" s="331" customFormat="1" ht="13.5">
      <c r="A150" s="457" t="s">
        <v>219</v>
      </c>
      <c r="B150" s="326" t="s">
        <v>220</v>
      </c>
      <c r="C150" s="327">
        <v>2112337</v>
      </c>
      <c r="D150" s="290">
        <f t="shared" si="40"/>
        <v>0.15142722581925261</v>
      </c>
      <c r="E150" s="328"/>
      <c r="F150" s="329">
        <v>26113</v>
      </c>
      <c r="G150" s="298">
        <f t="shared" si="39"/>
        <v>8.5869926813040509E-2</v>
      </c>
      <c r="H150" s="479">
        <v>48863</v>
      </c>
      <c r="I150" s="481">
        <f>(H150-H138)/H138</f>
        <v>5.0026861502095198E-2</v>
      </c>
      <c r="J150" s="479">
        <v>17508</v>
      </c>
      <c r="K150" s="481">
        <f>(J150-J138)/J138</f>
        <v>0.15824292140777985</v>
      </c>
      <c r="L150" s="330">
        <v>10</v>
      </c>
      <c r="M150" s="298">
        <f t="shared" si="38"/>
        <v>-0.93421052631578949</v>
      </c>
      <c r="N150" s="313">
        <v>4869</v>
      </c>
      <c r="O150" s="74">
        <f t="shared" si="28"/>
        <v>0.48990208078335384</v>
      </c>
      <c r="P150" s="313">
        <v>683</v>
      </c>
      <c r="Q150" s="298">
        <f t="shared" si="41"/>
        <v>0.1270627062706271</v>
      </c>
      <c r="R150" s="313">
        <v>2</v>
      </c>
      <c r="S150" s="298">
        <f t="shared" ref="S150:S161" si="43">R150/R138-1</f>
        <v>-0.94871794871794868</v>
      </c>
      <c r="T150" s="313">
        <v>18035</v>
      </c>
      <c r="U150" s="88">
        <f t="shared" si="42"/>
        <v>-3.8953426409463976E-2</v>
      </c>
      <c r="V150" s="313"/>
      <c r="W150" s="298"/>
      <c r="X150" s="313"/>
      <c r="Y150" s="298"/>
      <c r="Z150" s="424">
        <v>3351</v>
      </c>
      <c r="AA150" s="487">
        <f>Z150/Z138-1</f>
        <v>0.31000781860828774</v>
      </c>
      <c r="AB150" s="313"/>
      <c r="AC150" s="298"/>
      <c r="AD150" s="330"/>
      <c r="AE150" s="298"/>
      <c r="AF150" s="313"/>
      <c r="AG150" s="298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</row>
    <row r="151" spans="1:55" s="152" customFormat="1" ht="13.5">
      <c r="A151" s="461"/>
      <c r="B151" s="294" t="s">
        <v>223</v>
      </c>
      <c r="C151" s="312">
        <v>1876928</v>
      </c>
      <c r="D151" s="384">
        <f t="shared" si="40"/>
        <v>0.29836491056710357</v>
      </c>
      <c r="E151" s="178"/>
      <c r="F151" s="5">
        <v>22607</v>
      </c>
      <c r="G151" s="305">
        <f t="shared" si="39"/>
        <v>0.16554959785522794</v>
      </c>
      <c r="H151" s="480"/>
      <c r="I151" s="481"/>
      <c r="J151" s="480"/>
      <c r="K151" s="481"/>
      <c r="L151" s="7">
        <v>15</v>
      </c>
      <c r="M151" s="305">
        <f t="shared" si="38"/>
        <v>-0.84536082474226804</v>
      </c>
      <c r="N151" s="3">
        <v>4367</v>
      </c>
      <c r="O151" s="74">
        <f t="shared" si="28"/>
        <v>0.92294143549097307</v>
      </c>
      <c r="P151" s="3">
        <v>1098</v>
      </c>
      <c r="Q151" s="305">
        <f t="shared" si="41"/>
        <v>1.1361867704280155</v>
      </c>
      <c r="R151" s="3">
        <v>70</v>
      </c>
      <c r="S151" s="74">
        <f t="shared" si="43"/>
        <v>69</v>
      </c>
      <c r="T151" s="3">
        <v>15808</v>
      </c>
      <c r="U151" s="76">
        <f t="shared" si="42"/>
        <v>3.9111286399789558E-2</v>
      </c>
      <c r="V151" s="3"/>
      <c r="W151" s="305"/>
      <c r="X151" s="3"/>
      <c r="Y151" s="305"/>
      <c r="Z151" s="425"/>
      <c r="AA151" s="473"/>
      <c r="AB151" s="3"/>
      <c r="AC151" s="305"/>
      <c r="AD151" s="7"/>
      <c r="AE151" s="305"/>
      <c r="AF151" s="3"/>
      <c r="AG151" s="305"/>
    </row>
    <row r="152" spans="1:55" s="152" customFormat="1" ht="13.5">
      <c r="A152" s="461"/>
      <c r="B152" s="102" t="s">
        <v>224</v>
      </c>
      <c r="C152" s="336">
        <v>1569162</v>
      </c>
      <c r="D152" s="250">
        <f t="shared" si="40"/>
        <v>0.1076309943720648</v>
      </c>
      <c r="E152" s="178"/>
      <c r="F152" s="5">
        <v>20495</v>
      </c>
      <c r="G152" s="348">
        <f t="shared" si="39"/>
        <v>8.1016931272746451E-2</v>
      </c>
      <c r="H152" s="480"/>
      <c r="I152" s="481"/>
      <c r="J152" s="480"/>
      <c r="K152" s="481"/>
      <c r="L152" s="7">
        <v>94</v>
      </c>
      <c r="M152" s="316">
        <f t="shared" si="38"/>
        <v>-0.74456521739130432</v>
      </c>
      <c r="N152" s="3">
        <v>7796</v>
      </c>
      <c r="O152" s="74">
        <f t="shared" si="28"/>
        <v>0.56672025723472674</v>
      </c>
      <c r="P152" s="3">
        <v>1803</v>
      </c>
      <c r="Q152" s="316">
        <f t="shared" si="41"/>
        <v>0.11365040148239647</v>
      </c>
      <c r="R152" s="3">
        <v>138</v>
      </c>
      <c r="S152" s="74">
        <f t="shared" si="43"/>
        <v>0.56818181818181812</v>
      </c>
      <c r="T152" s="3">
        <v>20400</v>
      </c>
      <c r="U152" s="76">
        <f t="shared" si="42"/>
        <v>-4.7218719349866878E-2</v>
      </c>
      <c r="V152" s="3"/>
      <c r="W152" s="316"/>
      <c r="X152" s="3"/>
      <c r="Y152" s="316"/>
      <c r="Z152" s="425"/>
      <c r="AA152" s="473"/>
      <c r="AB152" s="3"/>
      <c r="AC152" s="316"/>
      <c r="AD152" s="7"/>
      <c r="AE152" s="316"/>
      <c r="AF152" s="3"/>
      <c r="AG152" s="316"/>
    </row>
    <row r="153" spans="1:55" s="152" customFormat="1" ht="13.5">
      <c r="A153" s="461"/>
      <c r="B153" s="102" t="s">
        <v>225</v>
      </c>
      <c r="C153" s="336">
        <v>1636597</v>
      </c>
      <c r="D153" s="250">
        <f t="shared" si="40"/>
        <v>9.4376980995813931E-2</v>
      </c>
      <c r="E153" s="178"/>
      <c r="F153" s="5">
        <v>25712</v>
      </c>
      <c r="G153" s="356">
        <f t="shared" si="39"/>
        <v>0.20132691678736636</v>
      </c>
      <c r="H153" s="426">
        <v>51476</v>
      </c>
      <c r="I153" s="481">
        <f>(H153-H141)/H141</f>
        <v>-0.18569959661472751</v>
      </c>
      <c r="J153" s="426">
        <f>67539-J150</f>
        <v>50031</v>
      </c>
      <c r="K153" s="481">
        <f>(J153-J141)/J141</f>
        <v>0.3093007432220245</v>
      </c>
      <c r="L153" s="7">
        <v>429</v>
      </c>
      <c r="M153" s="348">
        <f t="shared" si="38"/>
        <v>-0.20260223048327142</v>
      </c>
      <c r="N153" s="3">
        <v>10875</v>
      </c>
      <c r="O153" s="74">
        <f t="shared" si="28"/>
        <v>4.6780248339590047E-2</v>
      </c>
      <c r="P153" s="3">
        <v>4257</v>
      </c>
      <c r="Q153" s="348">
        <f t="shared" si="41"/>
        <v>0.1624795193883124</v>
      </c>
      <c r="R153" s="3">
        <v>428</v>
      </c>
      <c r="S153" s="74">
        <f t="shared" si="43"/>
        <v>1.1400000000000001</v>
      </c>
      <c r="T153" s="3">
        <v>20582</v>
      </c>
      <c r="U153" s="76">
        <f t="shared" si="42"/>
        <v>-0.20169110231944765</v>
      </c>
      <c r="V153" s="3"/>
      <c r="W153" s="341"/>
      <c r="X153" s="3"/>
      <c r="Y153" s="341"/>
      <c r="Z153" s="412">
        <f>9248-Z150</f>
        <v>5897</v>
      </c>
      <c r="AA153" s="488">
        <f>Z153/Z141-1</f>
        <v>-5.9002022926499809E-3</v>
      </c>
      <c r="AB153" s="3"/>
      <c r="AC153" s="341"/>
      <c r="AD153" s="7"/>
      <c r="AE153" s="341"/>
      <c r="AF153" s="3"/>
      <c r="AG153" s="341"/>
    </row>
    <row r="154" spans="1:55" s="152" customFormat="1" ht="13.5">
      <c r="A154" s="461"/>
      <c r="B154" s="294" t="s">
        <v>226</v>
      </c>
      <c r="C154" s="336">
        <v>1656728</v>
      </c>
      <c r="D154" s="250">
        <f t="shared" si="40"/>
        <v>4.9050032768408025E-2</v>
      </c>
      <c r="E154" s="178"/>
      <c r="F154" s="5">
        <v>26877</v>
      </c>
      <c r="G154" s="365">
        <f t="shared" si="39"/>
        <v>8.9770100960953725E-2</v>
      </c>
      <c r="H154" s="426"/>
      <c r="I154" s="481"/>
      <c r="J154" s="426"/>
      <c r="K154" s="481"/>
      <c r="L154" s="7">
        <v>268</v>
      </c>
      <c r="M154" s="356">
        <f t="shared" si="38"/>
        <v>-0.568438003220612</v>
      </c>
      <c r="N154" s="3">
        <v>13438</v>
      </c>
      <c r="O154" s="74">
        <f t="shared" si="28"/>
        <v>8.774485996438397E-2</v>
      </c>
      <c r="P154" s="3">
        <v>5455</v>
      </c>
      <c r="Q154" s="356">
        <f t="shared" si="41"/>
        <v>0.12776514368410163</v>
      </c>
      <c r="R154" s="3">
        <v>304</v>
      </c>
      <c r="S154" s="74">
        <f t="shared" si="43"/>
        <v>-0.34056399132321036</v>
      </c>
      <c r="T154" s="3">
        <v>24923</v>
      </c>
      <c r="U154" s="76">
        <f t="shared" si="42"/>
        <v>-0.13033009979761323</v>
      </c>
      <c r="V154" s="3"/>
      <c r="W154" s="348"/>
      <c r="X154" s="3"/>
      <c r="Y154" s="348"/>
      <c r="Z154" s="412"/>
      <c r="AA154" s="488"/>
      <c r="AB154" s="3"/>
      <c r="AC154" s="348"/>
      <c r="AD154" s="7"/>
      <c r="AE154" s="348"/>
      <c r="AF154" s="3"/>
      <c r="AG154" s="348"/>
    </row>
    <row r="155" spans="1:55" s="152" customFormat="1" ht="13.5">
      <c r="A155" s="461"/>
      <c r="B155" s="294" t="s">
        <v>24</v>
      </c>
      <c r="C155" s="336">
        <v>1778317</v>
      </c>
      <c r="D155" s="250">
        <f t="shared" ref="D155:D161" si="44">C155/C143-1</f>
        <v>0.29468581800020521</v>
      </c>
      <c r="E155" s="178"/>
      <c r="F155" s="5">
        <v>30789</v>
      </c>
      <c r="G155" s="377">
        <f t="shared" si="39"/>
        <v>6.4516129032258007E-2</v>
      </c>
      <c r="H155" s="426"/>
      <c r="I155" s="481"/>
      <c r="J155" s="426"/>
      <c r="K155" s="481"/>
      <c r="L155" s="7">
        <v>411</v>
      </c>
      <c r="M155" s="365">
        <f t="shared" si="38"/>
        <v>-0.44233378561736769</v>
      </c>
      <c r="N155" s="3">
        <v>12296</v>
      </c>
      <c r="O155" s="74">
        <f t="shared" si="28"/>
        <v>2.4239900041649332E-2</v>
      </c>
      <c r="P155" s="3">
        <v>6088</v>
      </c>
      <c r="Q155" s="365">
        <f t="shared" si="41"/>
        <v>0.3103745157124409</v>
      </c>
      <c r="R155" s="3">
        <v>335</v>
      </c>
      <c r="S155" s="74">
        <f t="shared" si="43"/>
        <v>0.78191489361702127</v>
      </c>
      <c r="T155" s="3">
        <v>24630</v>
      </c>
      <c r="U155" s="76">
        <f t="shared" si="42"/>
        <v>-5.2983697323900292E-2</v>
      </c>
      <c r="V155" s="3"/>
      <c r="W155" s="356"/>
      <c r="X155" s="3"/>
      <c r="Y155" s="356"/>
      <c r="Z155" s="412"/>
      <c r="AA155" s="488"/>
      <c r="AB155" s="3"/>
      <c r="AC155" s="356"/>
      <c r="AD155" s="7"/>
      <c r="AE155" s="356"/>
      <c r="AF155" s="3"/>
      <c r="AG155" s="356"/>
    </row>
    <row r="156" spans="1:55" s="152" customFormat="1" ht="13.5">
      <c r="A156" s="461"/>
      <c r="B156" s="294" t="s">
        <v>25</v>
      </c>
      <c r="C156" s="336">
        <v>2086068</v>
      </c>
      <c r="D156" s="250">
        <f t="shared" si="44"/>
        <v>0.24516692810738405</v>
      </c>
      <c r="E156" s="178"/>
      <c r="F156" s="5">
        <v>37460</v>
      </c>
      <c r="G156" s="391">
        <f t="shared" si="39"/>
        <v>2.7963008698992819E-2</v>
      </c>
      <c r="H156" s="426">
        <v>72268</v>
      </c>
      <c r="I156" s="481">
        <f>(H156-H144)/H144</f>
        <v>-0.17806287248077884</v>
      </c>
      <c r="J156" s="426">
        <f>137876-J153-J150</f>
        <v>70337</v>
      </c>
      <c r="K156" s="481">
        <f>(J156-J144)/J144</f>
        <v>0.12640125552495035</v>
      </c>
      <c r="L156" s="7">
        <v>285</v>
      </c>
      <c r="M156" s="379">
        <f t="shared" si="38"/>
        <v>-7.4675324675324672E-2</v>
      </c>
      <c r="N156" s="3">
        <v>11864</v>
      </c>
      <c r="O156" s="74">
        <f t="shared" si="28"/>
        <v>0.54178037686809621</v>
      </c>
      <c r="P156" s="3">
        <v>5251</v>
      </c>
      <c r="Q156" s="379">
        <f t="shared" si="41"/>
        <v>0.94193786982248517</v>
      </c>
      <c r="R156" s="77">
        <v>462</v>
      </c>
      <c r="S156" s="74">
        <f t="shared" si="43"/>
        <v>0.88571428571428568</v>
      </c>
      <c r="T156" s="3">
        <v>34470</v>
      </c>
      <c r="U156" s="76">
        <f t="shared" si="42"/>
        <v>-2.0460358056266004E-2</v>
      </c>
      <c r="V156" s="3"/>
      <c r="W156" s="365"/>
      <c r="X156" s="3"/>
      <c r="Y156" s="365"/>
      <c r="Z156" s="412">
        <f>15312-Z153-Z150</f>
        <v>6064</v>
      </c>
      <c r="AA156" s="488">
        <f>Z156/Z144-1</f>
        <v>0.13049962714392249</v>
      </c>
      <c r="AB156" s="3"/>
      <c r="AC156" s="365"/>
      <c r="AD156" s="7"/>
      <c r="AE156" s="365"/>
      <c r="AF156" s="3"/>
      <c r="AG156" s="365"/>
    </row>
    <row r="157" spans="1:55" s="337" customFormat="1" ht="13.5">
      <c r="A157" s="461"/>
      <c r="B157" s="294" t="s">
        <v>227</v>
      </c>
      <c r="C157" s="336">
        <v>2064241</v>
      </c>
      <c r="D157" s="250">
        <f t="shared" si="44"/>
        <v>0.1247743494207052</v>
      </c>
      <c r="E157" s="295"/>
      <c r="F157" s="289">
        <v>32807</v>
      </c>
      <c r="G157" s="393">
        <f t="shared" si="39"/>
        <v>7.7936586167241639E-2</v>
      </c>
      <c r="H157" s="426"/>
      <c r="I157" s="481"/>
      <c r="J157" s="426"/>
      <c r="K157" s="481"/>
      <c r="L157" s="256">
        <v>180</v>
      </c>
      <c r="M157" s="391">
        <f t="shared" si="38"/>
        <v>-0.40594059405940597</v>
      </c>
      <c r="N157" s="254">
        <v>10794</v>
      </c>
      <c r="O157" s="74">
        <f t="shared" si="28"/>
        <v>0.20576407506702421</v>
      </c>
      <c r="P157" s="254">
        <v>4795</v>
      </c>
      <c r="Q157" s="391">
        <f t="shared" si="41"/>
        <v>0.55884265279583878</v>
      </c>
      <c r="R157" s="256">
        <v>321</v>
      </c>
      <c r="S157" s="74">
        <f t="shared" si="43"/>
        <v>0.34309623430962333</v>
      </c>
      <c r="T157" s="254">
        <v>33031</v>
      </c>
      <c r="U157" s="76">
        <f t="shared" si="42"/>
        <v>9.4248989597826904E-2</v>
      </c>
      <c r="V157" s="254"/>
      <c r="W157" s="250"/>
      <c r="X157" s="254"/>
      <c r="Y157" s="250"/>
      <c r="Z157" s="412"/>
      <c r="AA157" s="488"/>
      <c r="AB157" s="254"/>
      <c r="AC157" s="250"/>
      <c r="AD157" s="254"/>
      <c r="AE157" s="250"/>
      <c r="AF157" s="254"/>
      <c r="AG157" s="250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250"/>
      <c r="BB157" s="254"/>
      <c r="BC157" s="250"/>
    </row>
    <row r="158" spans="1:55" s="337" customFormat="1" ht="13.5">
      <c r="A158" s="461"/>
      <c r="B158" s="294" t="s">
        <v>27</v>
      </c>
      <c r="C158" s="336">
        <v>1904524</v>
      </c>
      <c r="D158" s="250">
        <f t="shared" si="44"/>
        <v>0.25989162885495842</v>
      </c>
      <c r="E158" s="295"/>
      <c r="F158" s="289">
        <v>29564</v>
      </c>
      <c r="G158" s="395">
        <f t="shared" si="39"/>
        <v>0.11347971827803094</v>
      </c>
      <c r="H158" s="426"/>
      <c r="I158" s="481"/>
      <c r="J158" s="426"/>
      <c r="K158" s="481"/>
      <c r="L158" s="256">
        <v>234</v>
      </c>
      <c r="M158" s="393">
        <f t="shared" si="38"/>
        <v>3.539823008849563E-2</v>
      </c>
      <c r="N158" s="254">
        <v>11300</v>
      </c>
      <c r="O158" s="74">
        <f t="shared" si="28"/>
        <v>0.36953096594352197</v>
      </c>
      <c r="P158" s="254">
        <v>4398</v>
      </c>
      <c r="Q158" s="393">
        <f t="shared" si="41"/>
        <v>0.47287340924313459</v>
      </c>
      <c r="R158" s="256">
        <v>306</v>
      </c>
      <c r="S158" s="74">
        <f t="shared" si="43"/>
        <v>0.57731958762886593</v>
      </c>
      <c r="T158" s="254">
        <v>25437</v>
      </c>
      <c r="U158" s="76">
        <f t="shared" si="42"/>
        <v>0.16501786205001379</v>
      </c>
      <c r="V158" s="254"/>
      <c r="W158" s="250"/>
      <c r="X158" s="254"/>
      <c r="Y158" s="250"/>
      <c r="Z158" s="412"/>
      <c r="AA158" s="488"/>
      <c r="AB158" s="254"/>
      <c r="AC158" s="250"/>
      <c r="AD158" s="254"/>
      <c r="AE158" s="250"/>
      <c r="AF158" s="254"/>
      <c r="AG158" s="250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386"/>
      <c r="BB158" s="256"/>
      <c r="BC158" s="386"/>
    </row>
    <row r="159" spans="1:55" s="337" customFormat="1" ht="13.5">
      <c r="A159" s="461"/>
      <c r="B159" s="294" t="s">
        <v>28</v>
      </c>
      <c r="C159" s="336">
        <v>1865552</v>
      </c>
      <c r="D159" s="250">
        <f t="shared" si="44"/>
        <v>7.5055263964667995E-2</v>
      </c>
      <c r="E159" s="295"/>
      <c r="F159" s="289">
        <v>25960</v>
      </c>
      <c r="G159" s="406">
        <f t="shared" si="39"/>
        <v>-3.0547464336395547E-2</v>
      </c>
      <c r="H159" s="254"/>
      <c r="I159" s="250"/>
      <c r="J159" s="254"/>
      <c r="K159" s="250"/>
      <c r="L159" s="256">
        <v>241</v>
      </c>
      <c r="M159" s="395">
        <f t="shared" si="38"/>
        <v>-0.16896551724137931</v>
      </c>
      <c r="N159" s="254">
        <v>12442</v>
      </c>
      <c r="O159" s="74">
        <f t="shared" si="28"/>
        <v>0.17577017577017573</v>
      </c>
      <c r="P159" s="254">
        <v>6916</v>
      </c>
      <c r="Q159" s="406">
        <f t="shared" si="41"/>
        <v>0.86918918918918919</v>
      </c>
      <c r="R159" s="256">
        <v>529</v>
      </c>
      <c r="S159" s="74">
        <f t="shared" si="43"/>
        <v>3.0075757575757578</v>
      </c>
      <c r="T159" s="254">
        <v>23179</v>
      </c>
      <c r="U159" s="76">
        <f t="shared" si="42"/>
        <v>-0.12887101623571862</v>
      </c>
      <c r="V159" s="254"/>
      <c r="W159" s="250"/>
      <c r="X159" s="254"/>
      <c r="Y159" s="250"/>
      <c r="Z159" s="256"/>
      <c r="AA159" s="257"/>
      <c r="AB159" s="254"/>
      <c r="AC159" s="250"/>
      <c r="AD159" s="254"/>
      <c r="AE159" s="250"/>
      <c r="AF159" s="254"/>
      <c r="AG159" s="250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386"/>
      <c r="BB159" s="256"/>
      <c r="BC159" s="386"/>
    </row>
    <row r="160" spans="1:55" s="337" customFormat="1" ht="13.5">
      <c r="A160" s="461"/>
      <c r="B160" s="294" t="s">
        <v>29</v>
      </c>
      <c r="C160" s="336">
        <v>1825701</v>
      </c>
      <c r="D160" s="250">
        <f t="shared" si="44"/>
        <v>0.12277384086594423</v>
      </c>
      <c r="E160" s="295"/>
      <c r="F160" s="289"/>
      <c r="G160" s="250"/>
      <c r="H160" s="254"/>
      <c r="I160" s="250"/>
      <c r="J160" s="254"/>
      <c r="K160" s="250"/>
      <c r="L160" s="256">
        <v>127</v>
      </c>
      <c r="M160" s="406">
        <f t="shared" si="38"/>
        <v>1.5918367346938775</v>
      </c>
      <c r="N160" s="254">
        <v>7490</v>
      </c>
      <c r="O160" s="74">
        <f t="shared" si="28"/>
        <v>6.3618290258449228E-2</v>
      </c>
      <c r="P160" s="254"/>
      <c r="Q160" s="250"/>
      <c r="R160" s="256">
        <v>187</v>
      </c>
      <c r="S160" s="74">
        <f t="shared" si="43"/>
        <v>30.166666666666668</v>
      </c>
      <c r="T160" s="254">
        <v>17900</v>
      </c>
      <c r="U160" s="76">
        <f t="shared" si="42"/>
        <v>0.23832583881010039</v>
      </c>
      <c r="V160" s="254"/>
      <c r="W160" s="250"/>
      <c r="X160" s="254"/>
      <c r="Y160" s="250"/>
      <c r="Z160" s="256"/>
      <c r="AA160" s="257"/>
      <c r="AB160" s="254"/>
      <c r="AC160" s="250"/>
      <c r="AD160" s="254"/>
      <c r="AE160" s="250"/>
      <c r="AF160" s="254"/>
      <c r="AG160" s="250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386"/>
      <c r="BB160" s="256"/>
      <c r="BC160" s="386"/>
    </row>
    <row r="161" spans="1:55" s="337" customFormat="1" ht="14.25" thickBot="1">
      <c r="A161" s="461"/>
      <c r="B161" s="294" t="s">
        <v>30</v>
      </c>
      <c r="C161" s="336">
        <v>2007035</v>
      </c>
      <c r="D161" s="250">
        <f t="shared" si="44"/>
        <v>0.12646242524758455</v>
      </c>
      <c r="E161" s="295"/>
      <c r="F161" s="289"/>
      <c r="G161" s="250"/>
      <c r="H161" s="254"/>
      <c r="I161" s="250"/>
      <c r="J161" s="254"/>
      <c r="K161" s="250"/>
      <c r="L161" s="256"/>
      <c r="M161" s="250"/>
      <c r="N161" s="254"/>
      <c r="O161" s="250"/>
      <c r="P161" s="254"/>
      <c r="Q161" s="250"/>
      <c r="R161" s="256">
        <v>135</v>
      </c>
      <c r="S161" s="250">
        <f t="shared" si="43"/>
        <v>1.5961538461538463</v>
      </c>
      <c r="T161" s="254"/>
      <c r="U161" s="250"/>
      <c r="V161" s="254"/>
      <c r="W161" s="250"/>
      <c r="X161" s="254"/>
      <c r="Y161" s="250"/>
      <c r="Z161" s="256"/>
      <c r="AA161" s="257"/>
      <c r="AB161" s="254"/>
      <c r="AC161" s="250"/>
      <c r="AD161" s="254"/>
      <c r="AE161" s="250"/>
      <c r="AF161" s="254"/>
      <c r="AG161" s="250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386"/>
      <c r="BB161" s="256"/>
      <c r="BC161" s="386"/>
    </row>
    <row r="162" spans="1:55" s="152" customFormat="1" ht="16.5" customHeight="1">
      <c r="A162" s="129" t="s">
        <v>31</v>
      </c>
      <c r="B162" s="92" t="s">
        <v>16</v>
      </c>
      <c r="C162" s="94">
        <v>5508242</v>
      </c>
      <c r="D162" s="93">
        <v>0.26900000000000002</v>
      </c>
      <c r="E162" s="178"/>
      <c r="F162" s="94">
        <v>75539</v>
      </c>
      <c r="G162" s="95">
        <v>0.23200000000000001</v>
      </c>
      <c r="H162" s="180">
        <v>111000</v>
      </c>
      <c r="I162" s="95">
        <v>0.63200000000000001</v>
      </c>
      <c r="J162" s="180"/>
      <c r="K162" s="95"/>
      <c r="L162" s="94"/>
      <c r="M162" s="93"/>
      <c r="N162" s="94"/>
      <c r="O162" s="93"/>
      <c r="P162" s="94"/>
      <c r="Q162" s="93"/>
      <c r="R162" s="94" t="s">
        <v>218</v>
      </c>
      <c r="S162" s="93"/>
      <c r="T162" s="94">
        <v>23636</v>
      </c>
      <c r="U162" s="93"/>
      <c r="V162" s="94"/>
      <c r="W162" s="93"/>
      <c r="X162" s="94"/>
      <c r="Y162" s="93"/>
      <c r="Z162" s="94"/>
      <c r="AA162" s="93"/>
      <c r="AB162" s="94"/>
      <c r="AC162" s="93"/>
      <c r="AD162" s="96"/>
      <c r="AE162" s="95"/>
      <c r="AF162" s="94"/>
      <c r="AG162" s="93"/>
    </row>
    <row r="163" spans="1:55" s="152" customFormat="1" ht="16.5" customHeight="1">
      <c r="A163" s="130" t="s">
        <v>39</v>
      </c>
      <c r="B163" s="62" t="s">
        <v>16</v>
      </c>
      <c r="C163" s="5">
        <v>6084476</v>
      </c>
      <c r="D163" s="9">
        <f t="shared" ref="D163:D174" si="45">C163/C162-1</f>
        <v>0.10461305077010041</v>
      </c>
      <c r="E163" s="178"/>
      <c r="F163" s="5">
        <v>85805</v>
      </c>
      <c r="G163" s="9">
        <f t="shared" ref="G163:G173" si="46">F163/F162-1</f>
        <v>0.13590330822489038</v>
      </c>
      <c r="H163" s="11">
        <v>81000</v>
      </c>
      <c r="I163" s="9">
        <f t="shared" ref="I163:I173" si="47">H163/H162-1</f>
        <v>-0.27027027027027029</v>
      </c>
      <c r="J163" s="11"/>
      <c r="K163" s="9"/>
      <c r="L163" s="5"/>
      <c r="M163" s="9"/>
      <c r="N163" s="10"/>
      <c r="O163" s="9"/>
      <c r="P163" s="10"/>
      <c r="Q163" s="9"/>
      <c r="R163" s="10"/>
      <c r="S163" s="9"/>
      <c r="T163" s="5">
        <v>23789</v>
      </c>
      <c r="U163" s="9">
        <f>T163/T162-1</f>
        <v>6.4731765104077965E-3</v>
      </c>
      <c r="V163" s="5"/>
      <c r="W163" s="9"/>
      <c r="X163" s="10"/>
      <c r="Y163" s="9"/>
      <c r="Z163" s="10"/>
      <c r="AA163" s="9"/>
      <c r="AB163" s="10"/>
      <c r="AC163" s="9"/>
      <c r="AD163" s="100"/>
      <c r="AE163" s="99"/>
      <c r="AF163" s="10"/>
      <c r="AG163" s="9"/>
    </row>
    <row r="164" spans="1:55" s="152" customFormat="1" ht="16.5" customHeight="1">
      <c r="A164" s="130" t="s">
        <v>32</v>
      </c>
      <c r="B164" s="62" t="s">
        <v>16</v>
      </c>
      <c r="C164" s="5">
        <v>7123407</v>
      </c>
      <c r="D164" s="9">
        <f t="shared" si="45"/>
        <v>0.17075110494313717</v>
      </c>
      <c r="E164" s="178"/>
      <c r="F164" s="5">
        <v>111226</v>
      </c>
      <c r="G164" s="9">
        <f t="shared" si="46"/>
        <v>0.29626478643435705</v>
      </c>
      <c r="H164" s="11">
        <v>92000</v>
      </c>
      <c r="I164" s="9">
        <f t="shared" si="47"/>
        <v>0.13580246913580241</v>
      </c>
      <c r="J164" s="11"/>
      <c r="K164" s="9"/>
      <c r="L164" s="5"/>
      <c r="M164" s="9"/>
      <c r="N164" s="10"/>
      <c r="O164" s="9"/>
      <c r="P164" s="10"/>
      <c r="Q164" s="9"/>
      <c r="R164" s="10"/>
      <c r="S164" s="9"/>
      <c r="T164" s="5">
        <v>27876</v>
      </c>
      <c r="U164" s="9">
        <f>T164/T163-1</f>
        <v>0.1718020934045148</v>
      </c>
      <c r="V164" s="5"/>
      <c r="W164" s="9"/>
      <c r="X164" s="10"/>
      <c r="Y164" s="9"/>
      <c r="Z164" s="10"/>
      <c r="AA164" s="9"/>
      <c r="AB164" s="10"/>
      <c r="AC164" s="9"/>
      <c r="AD164" s="100"/>
      <c r="AE164" s="99"/>
      <c r="AF164" s="10"/>
      <c r="AG164" s="9"/>
      <c r="AH164" s="297"/>
      <c r="AI164" s="297"/>
      <c r="AJ164" s="297"/>
      <c r="AK164" s="297"/>
      <c r="AL164" s="297"/>
      <c r="AM164" s="297"/>
      <c r="AN164" s="297"/>
      <c r="AO164" s="297"/>
      <c r="AP164" s="297"/>
      <c r="AQ164" s="297"/>
      <c r="AR164" s="297"/>
      <c r="AS164" s="297"/>
      <c r="AT164" s="297"/>
      <c r="AU164" s="297"/>
      <c r="AV164" s="297"/>
      <c r="AW164" s="297"/>
      <c r="AX164" s="297"/>
      <c r="AY164" s="297"/>
      <c r="AZ164" s="297"/>
    </row>
    <row r="165" spans="1:55" s="152" customFormat="1" ht="16.5" customHeight="1">
      <c r="A165" s="130" t="s">
        <v>33</v>
      </c>
      <c r="B165" s="62" t="s">
        <v>16</v>
      </c>
      <c r="C165" s="5">
        <v>7086133</v>
      </c>
      <c r="D165" s="9">
        <f t="shared" si="45"/>
        <v>-5.2326084975911069E-3</v>
      </c>
      <c r="E165" s="178"/>
      <c r="F165" s="5">
        <v>114158</v>
      </c>
      <c r="G165" s="9">
        <f t="shared" si="46"/>
        <v>2.6360742991746511E-2</v>
      </c>
      <c r="H165" s="11">
        <v>109000</v>
      </c>
      <c r="I165" s="9">
        <f t="shared" si="47"/>
        <v>0.18478260869565211</v>
      </c>
      <c r="J165" s="11"/>
      <c r="K165" s="9"/>
      <c r="L165" s="5"/>
      <c r="M165" s="9"/>
      <c r="N165" s="5"/>
      <c r="O165" s="9"/>
      <c r="P165" s="5"/>
      <c r="Q165" s="9"/>
      <c r="R165" s="5"/>
      <c r="S165" s="9"/>
      <c r="T165" s="5">
        <v>41328</v>
      </c>
      <c r="U165" s="9">
        <f>T165/T164-1</f>
        <v>0.4825656478691347</v>
      </c>
      <c r="V165" s="5"/>
      <c r="W165" s="9"/>
      <c r="X165" s="5"/>
      <c r="Y165" s="9"/>
      <c r="Z165" s="5"/>
      <c r="AA165" s="9"/>
      <c r="AB165" s="5"/>
      <c r="AC165" s="9"/>
      <c r="AD165" s="100"/>
      <c r="AE165" s="99"/>
      <c r="AF165" s="5"/>
      <c r="AG165" s="9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</row>
    <row r="166" spans="1:55" s="152" customFormat="1" ht="16.5" customHeight="1">
      <c r="A166" s="130" t="s">
        <v>18</v>
      </c>
      <c r="B166" s="62" t="s">
        <v>16</v>
      </c>
      <c r="C166" s="5">
        <v>8825585</v>
      </c>
      <c r="D166" s="9">
        <f t="shared" si="45"/>
        <v>0.24547267176610998</v>
      </c>
      <c r="E166" s="178"/>
      <c r="F166" s="5">
        <v>130888</v>
      </c>
      <c r="G166" s="9">
        <f t="shared" si="46"/>
        <v>0.14655127104539312</v>
      </c>
      <c r="H166" s="11">
        <v>138000</v>
      </c>
      <c r="I166" s="9">
        <f t="shared" si="47"/>
        <v>0.26605504587155959</v>
      </c>
      <c r="J166" s="11"/>
      <c r="K166" s="9"/>
      <c r="L166" s="5"/>
      <c r="M166" s="9"/>
      <c r="N166" s="5"/>
      <c r="O166" s="9"/>
      <c r="P166" s="5"/>
      <c r="Q166" s="9"/>
      <c r="R166" s="5"/>
      <c r="S166" s="9"/>
      <c r="T166" s="5">
        <f>SUM(T6:T17)</f>
        <v>46181</v>
      </c>
      <c r="U166" s="9">
        <f>T166/T165-1</f>
        <v>0.11742644212156406</v>
      </c>
      <c r="V166" s="5">
        <f>SUM(V6:V17)</f>
        <v>15418</v>
      </c>
      <c r="W166" s="9"/>
      <c r="X166" s="5">
        <f>SUM(X6:X17)</f>
        <v>15376</v>
      </c>
      <c r="Y166" s="9"/>
      <c r="Z166" s="5"/>
      <c r="AA166" s="9"/>
      <c r="AB166" s="5">
        <f>SUM(AB6:AB17)</f>
        <v>97</v>
      </c>
      <c r="AC166" s="9"/>
      <c r="AD166" s="100"/>
      <c r="AE166" s="99"/>
      <c r="AF166" s="5"/>
      <c r="AG166" s="9"/>
      <c r="AH166" s="297"/>
      <c r="AI166" s="297"/>
      <c r="AJ166" s="297"/>
      <c r="AK166" s="297"/>
      <c r="AL166" s="297"/>
      <c r="AM166" s="297"/>
      <c r="AN166" s="297"/>
      <c r="AO166" s="297"/>
      <c r="AP166" s="297"/>
      <c r="AQ166" s="297"/>
      <c r="AR166" s="297"/>
      <c r="AS166" s="297"/>
      <c r="AT166" s="297"/>
      <c r="AU166" s="297"/>
      <c r="AV166" s="297"/>
      <c r="AW166" s="297"/>
      <c r="AX166" s="297"/>
      <c r="AY166" s="297"/>
      <c r="AZ166" s="297"/>
    </row>
    <row r="167" spans="1:55" s="152" customFormat="1" ht="16.5" customHeight="1">
      <c r="A167" s="130" t="s">
        <v>19</v>
      </c>
      <c r="B167" s="62" t="s">
        <v>16</v>
      </c>
      <c r="C167" s="5">
        <f>SUM(C18:C29)</f>
        <v>10080143</v>
      </c>
      <c r="D167" s="9">
        <f t="shared" si="45"/>
        <v>0.14215012375950153</v>
      </c>
      <c r="E167" s="178"/>
      <c r="F167" s="5">
        <f>SUM(F18:F29)</f>
        <v>137260</v>
      </c>
      <c r="G167" s="9">
        <f t="shared" si="46"/>
        <v>4.8682843346983695E-2</v>
      </c>
      <c r="H167" s="181">
        <v>149000</v>
      </c>
      <c r="I167" s="9">
        <f t="shared" si="47"/>
        <v>7.9710144927536142E-2</v>
      </c>
      <c r="J167" s="5">
        <f>SUM(J18:J29)</f>
        <v>111221</v>
      </c>
      <c r="K167" s="9"/>
      <c r="L167" s="5"/>
      <c r="M167" s="9"/>
      <c r="N167" s="5"/>
      <c r="O167" s="9"/>
      <c r="P167" s="5"/>
      <c r="Q167" s="9"/>
      <c r="R167" s="5"/>
      <c r="S167" s="9"/>
      <c r="T167" s="5">
        <f>SUM(T18:T29)</f>
        <v>57492</v>
      </c>
      <c r="U167" s="9">
        <f t="shared" ref="U167:U173" si="48">T167/T166-1</f>
        <v>0.24492756761438694</v>
      </c>
      <c r="V167" s="5">
        <f>SUM(V18:V29)</f>
        <v>13544</v>
      </c>
      <c r="W167" s="9">
        <f t="shared" ref="W167:W173" si="49">V167/V166-1</f>
        <v>-0.12154624464911146</v>
      </c>
      <c r="X167" s="5">
        <f>SUM(X18:X29)</f>
        <v>16599</v>
      </c>
      <c r="Y167" s="9">
        <f t="shared" ref="Y167:Y174" si="50">X167/X166-1</f>
        <v>7.9539542143600483E-2</v>
      </c>
      <c r="Z167" s="5"/>
      <c r="AA167" s="9"/>
      <c r="AB167" s="5">
        <f>SUM(AB18:AB29)</f>
        <v>130</v>
      </c>
      <c r="AC167" s="9">
        <f t="shared" ref="AC167:AC173" si="51">AB167/AB166-1</f>
        <v>0.34020618556701021</v>
      </c>
      <c r="AD167" s="100">
        <f>SUM(AD18:AD29)</f>
        <v>238</v>
      </c>
      <c r="AE167" s="9"/>
      <c r="AF167" s="5"/>
      <c r="AG167" s="9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</row>
    <row r="168" spans="1:55" s="152" customFormat="1" ht="16.5" customHeight="1">
      <c r="A168" s="130" t="s">
        <v>20</v>
      </c>
      <c r="B168" s="62" t="s">
        <v>16</v>
      </c>
      <c r="C168" s="5">
        <f>SUM(C30:C41)</f>
        <v>11609879</v>
      </c>
      <c r="D168" s="9">
        <f t="shared" si="45"/>
        <v>0.15175737090237718</v>
      </c>
      <c r="E168" s="178"/>
      <c r="F168" s="5">
        <f>SUM(F30:F41)</f>
        <v>152319</v>
      </c>
      <c r="G168" s="9">
        <f t="shared" si="46"/>
        <v>0.10971149643013267</v>
      </c>
      <c r="H168" s="181">
        <v>153000</v>
      </c>
      <c r="I168" s="9">
        <f t="shared" si="47"/>
        <v>2.6845637583892579E-2</v>
      </c>
      <c r="J168" s="5">
        <f>SUM(J30:J41)</f>
        <v>110788</v>
      </c>
      <c r="K168" s="9">
        <f t="shared" ref="K168:K173" si="52">J168/J167-1</f>
        <v>-3.8931496749714523E-3</v>
      </c>
      <c r="L168" s="5"/>
      <c r="M168" s="9"/>
      <c r="N168" s="5"/>
      <c r="O168" s="9"/>
      <c r="P168" s="5"/>
      <c r="Q168" s="9"/>
      <c r="R168" s="5"/>
      <c r="S168" s="9"/>
      <c r="T168" s="5">
        <f>SUM(T30:T41)</f>
        <v>80492</v>
      </c>
      <c r="U168" s="9">
        <f t="shared" si="48"/>
        <v>0.40005565991790171</v>
      </c>
      <c r="V168" s="5">
        <f>SUM(V30:V41)</f>
        <v>15655</v>
      </c>
      <c r="W168" s="9">
        <f t="shared" si="49"/>
        <v>0.15586237448316598</v>
      </c>
      <c r="X168" s="5">
        <f>SUM(X30:X41)</f>
        <v>23560</v>
      </c>
      <c r="Y168" s="9">
        <f t="shared" si="50"/>
        <v>0.41936261220555449</v>
      </c>
      <c r="Z168" s="5"/>
      <c r="AA168" s="9"/>
      <c r="AB168" s="5">
        <f>SUM(AB30:AB41)</f>
        <v>134</v>
      </c>
      <c r="AC168" s="9">
        <f t="shared" si="51"/>
        <v>3.076923076923066E-2</v>
      </c>
      <c r="AD168" s="100">
        <f>SUM(AD30:AD41)</f>
        <v>432</v>
      </c>
      <c r="AE168" s="9">
        <f t="shared" ref="AE168:AE173" si="53">AD168/AD167-1</f>
        <v>0.81512605042016806</v>
      </c>
      <c r="AF168" s="5"/>
      <c r="AG168" s="9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</row>
    <row r="169" spans="1:55" s="152" customFormat="1" ht="16.5" customHeight="1">
      <c r="A169" s="130" t="s">
        <v>42</v>
      </c>
      <c r="B169" s="62" t="s">
        <v>16</v>
      </c>
      <c r="C169" s="5">
        <f>SUM(SUM(C42:C53))</f>
        <v>13324977</v>
      </c>
      <c r="D169" s="9">
        <f t="shared" si="45"/>
        <v>0.147727465548952</v>
      </c>
      <c r="E169" s="178"/>
      <c r="F169" s="5">
        <f>SUM(F42:F53)</f>
        <v>160868</v>
      </c>
      <c r="G169" s="9">
        <f t="shared" si="46"/>
        <v>5.612563107688473E-2</v>
      </c>
      <c r="H169" s="11">
        <v>157000</v>
      </c>
      <c r="I169" s="9">
        <f t="shared" si="47"/>
        <v>2.614379084967311E-2</v>
      </c>
      <c r="J169" s="5">
        <f>SUM(J42:J53)</f>
        <v>124785</v>
      </c>
      <c r="K169" s="9">
        <f t="shared" si="52"/>
        <v>0.12634039787702633</v>
      </c>
      <c r="L169" s="5"/>
      <c r="M169" s="9"/>
      <c r="N169" s="5"/>
      <c r="O169" s="9"/>
      <c r="P169" s="5"/>
      <c r="Q169" s="9"/>
      <c r="R169" s="5"/>
      <c r="S169" s="9"/>
      <c r="T169" s="5">
        <f>SUM(T42:T53)</f>
        <v>92559</v>
      </c>
      <c r="U169" s="9">
        <f t="shared" si="48"/>
        <v>0.14991551955473836</v>
      </c>
      <c r="V169" s="5">
        <f>SUM(V42:V53)</f>
        <v>12159</v>
      </c>
      <c r="W169" s="9">
        <f t="shared" si="49"/>
        <v>-0.22331523474928139</v>
      </c>
      <c r="X169" s="5">
        <f>SUM(X42:X53)</f>
        <v>19575</v>
      </c>
      <c r="Y169" s="9">
        <f t="shared" si="50"/>
        <v>-0.16914261460101865</v>
      </c>
      <c r="Z169" s="5"/>
      <c r="AA169" s="9"/>
      <c r="AB169" s="5">
        <f>SUM(AB42:AB53)</f>
        <v>145</v>
      </c>
      <c r="AC169" s="9">
        <f t="shared" si="51"/>
        <v>8.2089552238805874E-2</v>
      </c>
      <c r="AD169" s="100">
        <f>SUM(AD42:AD53)</f>
        <v>651</v>
      </c>
      <c r="AE169" s="9">
        <f t="shared" si="53"/>
        <v>0.50694444444444442</v>
      </c>
      <c r="AF169" s="5"/>
      <c r="AG169" s="9"/>
      <c r="AH169" s="194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</row>
    <row r="170" spans="1:55" s="152" customFormat="1" ht="16.5" customHeight="1">
      <c r="A170" s="130" t="s">
        <v>56</v>
      </c>
      <c r="B170" s="62" t="s">
        <v>57</v>
      </c>
      <c r="C170" s="5">
        <f>SUM(C54:C65)</f>
        <v>11996094</v>
      </c>
      <c r="D170" s="9">
        <f t="shared" si="45"/>
        <v>-9.9728727486734114E-2</v>
      </c>
      <c r="E170" s="178"/>
      <c r="F170" s="5">
        <f>SUM(F54:F65)</f>
        <v>143439</v>
      </c>
      <c r="G170" s="9">
        <f t="shared" si="46"/>
        <v>-0.10834348658527493</v>
      </c>
      <c r="H170" s="11">
        <v>128000</v>
      </c>
      <c r="I170" s="9">
        <f t="shared" si="47"/>
        <v>-0.1847133757961783</v>
      </c>
      <c r="J170" s="5">
        <f>SUM(J54:J65)</f>
        <v>101304</v>
      </c>
      <c r="K170" s="9">
        <f t="shared" si="52"/>
        <v>-0.18817165524702484</v>
      </c>
      <c r="L170" s="5"/>
      <c r="M170" s="99"/>
      <c r="N170" s="5">
        <f>SUM(N54:N65)</f>
        <v>6367</v>
      </c>
      <c r="O170" s="9"/>
      <c r="P170" s="5"/>
      <c r="Q170" s="9"/>
      <c r="R170" s="5"/>
      <c r="S170" s="9"/>
      <c r="T170" s="5">
        <f>SUM(T54:T65)</f>
        <v>79928</v>
      </c>
      <c r="U170" s="9">
        <f t="shared" si="48"/>
        <v>-0.13646430925139641</v>
      </c>
      <c r="V170" s="5">
        <f>SUM(V54:V65)</f>
        <v>10602</v>
      </c>
      <c r="W170" s="9">
        <f t="shared" si="49"/>
        <v>-0.12805329385640263</v>
      </c>
      <c r="X170" s="5">
        <f>SUM(X54:X65)</f>
        <v>20598</v>
      </c>
      <c r="Y170" s="9">
        <f t="shared" si="50"/>
        <v>5.2260536398467394E-2</v>
      </c>
      <c r="Z170" s="5"/>
      <c r="AA170" s="9"/>
      <c r="AB170" s="5">
        <f>SUM(AB54:AB65)</f>
        <v>136</v>
      </c>
      <c r="AC170" s="9">
        <f t="shared" si="51"/>
        <v>-6.2068965517241392E-2</v>
      </c>
      <c r="AD170" s="100">
        <f>SUM(AD54:AD65)</f>
        <v>536</v>
      </c>
      <c r="AE170" s="9">
        <f t="shared" si="53"/>
        <v>-0.1766513056835638</v>
      </c>
      <c r="AF170" s="5"/>
      <c r="AG170" s="9"/>
      <c r="AH170" s="194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</row>
    <row r="171" spans="1:55" s="152" customFormat="1" ht="16.5" customHeight="1">
      <c r="A171" s="130" t="s">
        <v>58</v>
      </c>
      <c r="B171" s="62" t="s">
        <v>57</v>
      </c>
      <c r="C171" s="5">
        <f>SUM(C66:C77)</f>
        <v>9494111</v>
      </c>
      <c r="D171" s="9">
        <f t="shared" si="45"/>
        <v>-0.20856647171987819</v>
      </c>
      <c r="E171" s="178"/>
      <c r="F171" s="5">
        <f>SUM(F66:F77)</f>
        <v>125096</v>
      </c>
      <c r="G171" s="9">
        <f t="shared" si="46"/>
        <v>-0.12788014417278426</v>
      </c>
      <c r="H171" s="11">
        <v>75000</v>
      </c>
      <c r="I171" s="9">
        <f t="shared" si="47"/>
        <v>-0.4140625</v>
      </c>
      <c r="J171" s="5">
        <f>SUM(J66:J77)</f>
        <v>84166</v>
      </c>
      <c r="K171" s="9">
        <f t="shared" si="52"/>
        <v>-0.16917397141277735</v>
      </c>
      <c r="L171" s="5"/>
      <c r="M171" s="9"/>
      <c r="N171" s="5">
        <f>SUM(N66:N77)</f>
        <v>5120</v>
      </c>
      <c r="O171" s="9">
        <f>N171/N170-1</f>
        <v>-0.19585362022930741</v>
      </c>
      <c r="P171" s="5"/>
      <c r="Q171" s="9"/>
      <c r="R171" s="5"/>
      <c r="S171" s="9"/>
      <c r="T171" s="5">
        <f>SUM(T66:T77)</f>
        <v>59351</v>
      </c>
      <c r="U171" s="9">
        <f t="shared" si="48"/>
        <v>-0.25744419977980182</v>
      </c>
      <c r="V171" s="5">
        <f>SUM(V66:V77)</f>
        <v>7450</v>
      </c>
      <c r="W171" s="9">
        <f t="shared" si="49"/>
        <v>-0.29730239577438222</v>
      </c>
      <c r="X171" s="5">
        <f>SUM(X66:X77)</f>
        <v>19153</v>
      </c>
      <c r="Y171" s="9">
        <f t="shared" si="50"/>
        <v>-7.0152441984658753E-2</v>
      </c>
      <c r="Z171" s="5">
        <v>17580</v>
      </c>
      <c r="AA171" s="9"/>
      <c r="AB171" s="5">
        <f>SUM(AB66:AB77)</f>
        <v>76</v>
      </c>
      <c r="AC171" s="9">
        <f t="shared" si="51"/>
        <v>-0.44117647058823528</v>
      </c>
      <c r="AD171" s="100">
        <f>SUM(AD66:AD77)</f>
        <v>662</v>
      </c>
      <c r="AE171" s="9">
        <f t="shared" si="53"/>
        <v>0.2350746268656716</v>
      </c>
      <c r="AF171" s="5"/>
      <c r="AG171" s="9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</row>
    <row r="172" spans="1:55" s="152" customFormat="1" ht="16.5" customHeight="1">
      <c r="A172" s="130" t="s">
        <v>59</v>
      </c>
      <c r="B172" s="62" t="s">
        <v>57</v>
      </c>
      <c r="C172" s="5">
        <f>SUM(C78:C89)</f>
        <v>12488364</v>
      </c>
      <c r="D172" s="9">
        <f t="shared" si="45"/>
        <v>0.31538002873570781</v>
      </c>
      <c r="E172" s="178"/>
      <c r="F172" s="5">
        <f>SUM(F78:F89)</f>
        <v>144450</v>
      </c>
      <c r="G172" s="9">
        <f t="shared" si="46"/>
        <v>0.15471318027754677</v>
      </c>
      <c r="H172" s="126">
        <v>115000</v>
      </c>
      <c r="I172" s="9">
        <f t="shared" si="47"/>
        <v>0.53333333333333344</v>
      </c>
      <c r="J172" s="5">
        <f>SUM(J78:J89)</f>
        <v>90622</v>
      </c>
      <c r="K172" s="9">
        <f t="shared" si="52"/>
        <v>7.6705558063826285E-2</v>
      </c>
      <c r="L172" s="5">
        <f>SUM(L78:L89)</f>
        <v>686</v>
      </c>
      <c r="M172" s="9"/>
      <c r="N172" s="5">
        <f>SUM(N78:N89)</f>
        <v>6604</v>
      </c>
      <c r="O172" s="9">
        <f>N172/N171-1</f>
        <v>0.28984374999999996</v>
      </c>
      <c r="P172" s="5"/>
      <c r="Q172" s="9"/>
      <c r="R172" s="5"/>
      <c r="S172" s="9"/>
      <c r="T172" s="5">
        <f>SUM(T78:T89)</f>
        <v>77560</v>
      </c>
      <c r="U172" s="9">
        <f t="shared" si="48"/>
        <v>0.30680190729726542</v>
      </c>
      <c r="V172" s="5">
        <f>SUM(V78:V89)</f>
        <v>9578</v>
      </c>
      <c r="W172" s="9">
        <f t="shared" si="49"/>
        <v>0.28563758389261751</v>
      </c>
      <c r="X172" s="5">
        <f>SUM(X78:X89)</f>
        <v>26444</v>
      </c>
      <c r="Y172" s="9">
        <f t="shared" si="50"/>
        <v>0.38067143528428971</v>
      </c>
      <c r="Z172" s="5">
        <v>23419</v>
      </c>
      <c r="AA172" s="9">
        <f>Z172/Z171-1</f>
        <v>0.33213879408418667</v>
      </c>
      <c r="AB172" s="5">
        <f>SUM(AB78:AB89)</f>
        <v>99</v>
      </c>
      <c r="AC172" s="9">
        <f t="shared" si="51"/>
        <v>0.30263157894736836</v>
      </c>
      <c r="AD172" s="100">
        <f>SUM(AD78:AD89)</f>
        <v>935</v>
      </c>
      <c r="AE172" s="9">
        <f t="shared" si="53"/>
        <v>0.41238670694864044</v>
      </c>
      <c r="AF172" s="5"/>
      <c r="AG172" s="9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</row>
    <row r="173" spans="1:55" s="152" customFormat="1" ht="16.5" customHeight="1">
      <c r="A173" s="130" t="s">
        <v>62</v>
      </c>
      <c r="B173" s="62" t="s">
        <v>57</v>
      </c>
      <c r="C173" s="5">
        <v>12693733</v>
      </c>
      <c r="D173" s="9">
        <f t="shared" si="45"/>
        <v>1.6444828161639169E-2</v>
      </c>
      <c r="E173" s="178"/>
      <c r="F173" s="5">
        <f>SUM(F90:F101)</f>
        <v>172866</v>
      </c>
      <c r="G173" s="9">
        <f t="shared" si="46"/>
        <v>0.1967185877466251</v>
      </c>
      <c r="H173" s="11">
        <v>140000</v>
      </c>
      <c r="I173" s="9">
        <f t="shared" si="47"/>
        <v>0.21739130434782616</v>
      </c>
      <c r="J173" s="5">
        <f>SUM(J90:J101)</f>
        <v>91335</v>
      </c>
      <c r="K173" s="9">
        <f t="shared" si="52"/>
        <v>7.8678466597514873E-3</v>
      </c>
      <c r="L173" s="5">
        <f>SUM(L90:L101)</f>
        <v>1070</v>
      </c>
      <c r="M173" s="99">
        <f>L173/L172-1</f>
        <v>0.55976676384839652</v>
      </c>
      <c r="N173" s="5">
        <f>SUM(N90:N101)</f>
        <v>11532</v>
      </c>
      <c r="O173" s="9">
        <f>N173/N172-1</f>
        <v>0.74621441550575418</v>
      </c>
      <c r="P173" s="5"/>
      <c r="Q173" s="9"/>
      <c r="R173" s="5"/>
      <c r="S173" s="9"/>
      <c r="T173" s="5">
        <f>SUM(T90:T101)</f>
        <v>106359</v>
      </c>
      <c r="U173" s="9">
        <f t="shared" si="48"/>
        <v>0.37131253223310989</v>
      </c>
      <c r="V173" s="5">
        <f>SUM(V90:V101)</f>
        <v>12446</v>
      </c>
      <c r="W173" s="9">
        <f t="shared" si="49"/>
        <v>0.29943620797661308</v>
      </c>
      <c r="X173" s="5">
        <f>SUM(X90:X101)</f>
        <v>29143</v>
      </c>
      <c r="Y173" s="9">
        <f t="shared" si="50"/>
        <v>0.10206474058387527</v>
      </c>
      <c r="Z173" s="5">
        <v>27176</v>
      </c>
      <c r="AA173" s="9">
        <f>Z173/Z172-1</f>
        <v>0.16042529570007269</v>
      </c>
      <c r="AB173" s="5">
        <f>SUM(AB90:AB101)</f>
        <v>127</v>
      </c>
      <c r="AC173" s="9">
        <f t="shared" si="51"/>
        <v>0.28282828282828287</v>
      </c>
      <c r="AD173" s="100">
        <f>SUM(AD90:AD101)</f>
        <v>1419</v>
      </c>
      <c r="AE173" s="9">
        <f t="shared" si="53"/>
        <v>0.51764705882352935</v>
      </c>
      <c r="AF173" s="5">
        <f>SUM(AF96:AF101)</f>
        <v>50</v>
      </c>
      <c r="AG173" s="9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</row>
    <row r="174" spans="1:55" s="152" customFormat="1" ht="16.5" customHeight="1">
      <c r="A174" s="130" t="s">
        <v>63</v>
      </c>
      <c r="B174" s="62" t="s">
        <v>57</v>
      </c>
      <c r="C174" s="5">
        <f>SUM(C102:C113)</f>
        <v>13736976</v>
      </c>
      <c r="D174" s="9">
        <f t="shared" si="45"/>
        <v>8.2185673828179651E-2</v>
      </c>
      <c r="E174" s="178"/>
      <c r="F174" s="5">
        <f>SUM(F102:F113)</f>
        <v>208108</v>
      </c>
      <c r="G174" s="9">
        <f>F174/F173-1</f>
        <v>0.20386889266830965</v>
      </c>
      <c r="H174" s="11">
        <f>SUM(H102:H113)</f>
        <v>169100</v>
      </c>
      <c r="I174" s="9">
        <f>H174/H173-1</f>
        <v>0.20785714285714296</v>
      </c>
      <c r="J174" s="5">
        <f>SUM(J102:J113)</f>
        <v>94922</v>
      </c>
      <c r="K174" s="9">
        <f>J174/J173-1</f>
        <v>3.9273005967044305E-2</v>
      </c>
      <c r="L174" s="5">
        <f>SUM(L102:L113)</f>
        <v>1179</v>
      </c>
      <c r="M174" s="99">
        <f>L174/L173-1</f>
        <v>0.10186915887850456</v>
      </c>
      <c r="N174" s="5">
        <f>SUM(N102:N113)</f>
        <v>16329</v>
      </c>
      <c r="O174" s="9">
        <f>N174/N173-1</f>
        <v>0.4159729448491154</v>
      </c>
      <c r="P174" s="5"/>
      <c r="Q174" s="9"/>
      <c r="R174" s="5"/>
      <c r="S174" s="9"/>
      <c r="T174" s="5">
        <f>SUM(T102:T113)</f>
        <v>134856</v>
      </c>
      <c r="U174" s="9">
        <f>T174/T173-1</f>
        <v>0.26793219191605777</v>
      </c>
      <c r="V174" s="5">
        <f>SUM(V102:V113)</f>
        <v>13609</v>
      </c>
      <c r="W174" s="9">
        <f>V174/V173-1</f>
        <v>9.3443676683271804E-2</v>
      </c>
      <c r="X174" s="5">
        <f>SUM(X102:X113)</f>
        <v>27952</v>
      </c>
      <c r="Y174" s="9">
        <f t="shared" si="50"/>
        <v>-4.0867446728202306E-2</v>
      </c>
      <c r="Z174" s="5">
        <v>27458</v>
      </c>
      <c r="AA174" s="9">
        <f>Z174/Z173-1</f>
        <v>1.0376803061524775E-2</v>
      </c>
      <c r="AB174" s="5">
        <f>SUM(AB102:AB113)</f>
        <v>102</v>
      </c>
      <c r="AC174" s="9">
        <f>AB174/AB173-1</f>
        <v>-0.19685039370078738</v>
      </c>
      <c r="AD174" s="100">
        <f>SUM(AD102:AD113)</f>
        <v>1762</v>
      </c>
      <c r="AE174" s="9">
        <f>AD174/SUM(AD90:AD101)-1</f>
        <v>0.24171952078928816</v>
      </c>
      <c r="AF174" s="5">
        <f>SUM(AF102:AF113)</f>
        <v>64</v>
      </c>
      <c r="AG174" s="9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</row>
    <row r="175" spans="1:55" s="152" customFormat="1" ht="16.5" customHeight="1" thickBot="1">
      <c r="A175" s="130" t="s">
        <v>65</v>
      </c>
      <c r="B175" s="62" t="s">
        <v>57</v>
      </c>
      <c r="C175" s="5">
        <f>SUM(C114:C125)</f>
        <v>14846485</v>
      </c>
      <c r="D175" s="9">
        <f>C175/SUM(C102:C113)-1</f>
        <v>8.0768067149567635E-2</v>
      </c>
      <c r="E175" s="178"/>
      <c r="F175" s="5">
        <f>SUM(F114:F125)</f>
        <v>228865</v>
      </c>
      <c r="G175" s="9">
        <f>F175/SUM(F102:F113)-1</f>
        <v>9.97414803851846E-2</v>
      </c>
      <c r="H175" s="11">
        <f>SUM(H114:H125)</f>
        <v>208886</v>
      </c>
      <c r="I175" s="9">
        <f>H175/SUM(H102:H113)-1</f>
        <v>0.23528089887640458</v>
      </c>
      <c r="J175" s="5">
        <f>SUM(J114:J125)</f>
        <v>107942</v>
      </c>
      <c r="K175" s="9">
        <f>J175/SUM(J102:J113)-1</f>
        <v>0.13716525146962777</v>
      </c>
      <c r="L175" s="5">
        <f>SUM(L114:L125)</f>
        <v>1795</v>
      </c>
      <c r="M175" s="99">
        <f>L175/SUM(L102:L113)-1</f>
        <v>0.52247667514843088</v>
      </c>
      <c r="N175" s="5">
        <f>SUM(N114:N125)</f>
        <v>23224</v>
      </c>
      <c r="O175" s="9">
        <f>N175/SUM(N102:N113)-1</f>
        <v>0.42225488394880273</v>
      </c>
      <c r="P175" s="5">
        <f>SUM(P114:P125)</f>
        <v>11592</v>
      </c>
      <c r="Q175" s="9"/>
      <c r="R175" s="5">
        <f>SUM(R114:R125)</f>
        <v>1516</v>
      </c>
      <c r="S175" s="9"/>
      <c r="T175" s="5">
        <f>SUM(T114:T125)</f>
        <v>182442</v>
      </c>
      <c r="U175" s="9">
        <f>T175/SUM(T102:T113)-1</f>
        <v>0.35286527851930938</v>
      </c>
      <c r="V175" s="5">
        <f>SUM(V114:V125)</f>
        <v>15855</v>
      </c>
      <c r="W175" s="9">
        <f>V175/SUM(V102:V113)-1</f>
        <v>0.16503784260415899</v>
      </c>
      <c r="X175" s="5">
        <f>SUM(X114:X125)</f>
        <v>31203</v>
      </c>
      <c r="Y175" s="9">
        <f>X175/SUM(X102:X113)-1</f>
        <v>0.11630652547223819</v>
      </c>
      <c r="Z175" s="5">
        <f>SUM(Z115:Z125)</f>
        <v>13448</v>
      </c>
      <c r="AA175" s="9">
        <f>Z175/SUM(Z102:Z113)-1</f>
        <v>-0.51023381163959503</v>
      </c>
      <c r="AB175" s="5">
        <f>SUM(AB114:AB125)</f>
        <v>100</v>
      </c>
      <c r="AC175" s="9">
        <f>AB175/SUM(AB102:AB113)-1</f>
        <v>-1.9607843137254943E-2</v>
      </c>
      <c r="AD175" s="100">
        <f>SUM(AD114:AD125)</f>
        <v>2433</v>
      </c>
      <c r="AE175" s="9">
        <f>AD175/SUM(AD102:AD113)-1</f>
        <v>0.38081725312145287</v>
      </c>
      <c r="AF175" s="5">
        <f>SUM(AF114:AF125)</f>
        <v>11</v>
      </c>
      <c r="AG175" s="9">
        <f>AF175/SUM(AF102:AF106)-1</f>
        <v>0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</row>
    <row r="176" spans="1:55" s="297" customFormat="1" ht="16.5" customHeight="1" thickBot="1">
      <c r="A176" s="104" t="s">
        <v>87</v>
      </c>
      <c r="B176" s="105" t="s">
        <v>57</v>
      </c>
      <c r="C176" s="123">
        <f>SUM(C126:C137)</f>
        <v>16080684</v>
      </c>
      <c r="D176" s="124">
        <f>C176/SUM(C114:C125)-1</f>
        <v>8.3130720840656869E-2</v>
      </c>
      <c r="E176" s="295"/>
      <c r="F176" s="123">
        <f>SUM(F126:F137)</f>
        <v>254332</v>
      </c>
      <c r="G176" s="124">
        <f>F176/SUM(F114:F125)-1</f>
        <v>0.11127520590741269</v>
      </c>
      <c r="H176" s="123">
        <f>SUM(H126:H137)</f>
        <v>210728</v>
      </c>
      <c r="I176" s="124">
        <f>H176/SUM(H114:H125)-1</f>
        <v>8.8182070603104457E-3</v>
      </c>
      <c r="J176" s="123">
        <f>SUM(J126:J137)</f>
        <v>135676</v>
      </c>
      <c r="K176" s="124">
        <f>J176/SUM(J114:J125)-1</f>
        <v>0.2569342795204832</v>
      </c>
      <c r="L176" s="123">
        <f>SUM(L126:L137)</f>
        <v>3364</v>
      </c>
      <c r="M176" s="124">
        <f>L176/SUM(L114:L125)-1</f>
        <v>0.87409470752089136</v>
      </c>
      <c r="N176" s="123">
        <f>SUM(N126:N137)</f>
        <v>61702</v>
      </c>
      <c r="O176" s="124">
        <f>N176/SUM(N114:N125)-1</f>
        <v>1.6568205304857044</v>
      </c>
      <c r="P176" s="123">
        <f>SUM(P126:P137)</f>
        <v>27475</v>
      </c>
      <c r="Q176" s="124">
        <f>P176/SUM(P114:P125)-1</f>
        <v>1.3701690821256038</v>
      </c>
      <c r="R176" s="123">
        <f>SUM(R126:R137)</f>
        <v>3110</v>
      </c>
      <c r="S176" s="124">
        <f>R176/SUM(R114:R125)-1</f>
        <v>1.0514511873350925</v>
      </c>
      <c r="T176" s="123">
        <f>SUM(T126:T137)</f>
        <v>234557</v>
      </c>
      <c r="U176" s="124">
        <f>T176/SUM(T114:T125)-1</f>
        <v>0.28565242652459411</v>
      </c>
      <c r="V176" s="123">
        <f>SUM(V126:V137)</f>
        <v>16314</v>
      </c>
      <c r="W176" s="124">
        <f>V176/SUM(V114:V125)-1</f>
        <v>2.8949858088930913E-2</v>
      </c>
      <c r="X176" s="123">
        <f>SUM(X126:X137)</f>
        <v>1355</v>
      </c>
      <c r="Y176" s="124">
        <f>X176/SUM(X114)-1</f>
        <v>-0.14186193793540214</v>
      </c>
      <c r="Z176" s="123">
        <f>SUM(Z126:Z137)</f>
        <v>17746</v>
      </c>
      <c r="AA176" s="124">
        <f>Z176/SUM(Z114:Z125)-1</f>
        <v>-0.34706942860296552</v>
      </c>
      <c r="AB176" s="123">
        <f>SUM(AB126:AB137)</f>
        <v>89</v>
      </c>
      <c r="AC176" s="124">
        <f>AB176/SUM(AB103:AB125)-1</f>
        <v>-0.55499999999999994</v>
      </c>
      <c r="AD176" s="123">
        <f>SUM(AD126:AD137)</f>
        <v>2189</v>
      </c>
      <c r="AE176" s="124">
        <f>AD176/SUM(AD114:AD121)-1</f>
        <v>0.2402266288951842</v>
      </c>
      <c r="AF176" s="123">
        <f>SUM(AF126:AF137)</f>
        <v>0</v>
      </c>
      <c r="AG176" s="124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</row>
    <row r="177" spans="1:52" ht="16.5" customHeight="1" thickBot="1">
      <c r="A177" s="104" t="s">
        <v>100</v>
      </c>
      <c r="B177" s="105" t="s">
        <v>57</v>
      </c>
      <c r="C177" s="123">
        <f>SUM(C138:C149)</f>
        <v>19310430</v>
      </c>
      <c r="D177" s="124">
        <f>C177/SUM(C126:C137)-1</f>
        <v>0.20084630728394393</v>
      </c>
      <c r="E177" s="178"/>
      <c r="F177" s="123">
        <f>SUM(F138:F149)</f>
        <v>296900</v>
      </c>
      <c r="G177" s="124">
        <f>F177/F176-1</f>
        <v>0.16737178176556622</v>
      </c>
      <c r="H177" s="123">
        <f>SUM(H138:H149)</f>
        <v>237363</v>
      </c>
      <c r="I177" s="124">
        <f>H177/SUM(H126:H137)-1</f>
        <v>0.12639516343343082</v>
      </c>
      <c r="J177" s="123">
        <f>SUM(J138:J146)</f>
        <v>115772</v>
      </c>
      <c r="K177" s="124">
        <f>J177/SUM(J126:J134)-1</f>
        <v>1.5000745215279609E-2</v>
      </c>
      <c r="L177" s="123">
        <f>SUM(L138:L149)</f>
        <v>3704</v>
      </c>
      <c r="M177" s="124">
        <f>L177/SUM(L126:L137)-1</f>
        <v>0.10107015457788338</v>
      </c>
      <c r="N177" s="123">
        <f>SUM(N138:N149)</f>
        <v>92021</v>
      </c>
      <c r="O177" s="124">
        <f>N177/SUM(N126:N137)-1</f>
        <v>0.49137791319568258</v>
      </c>
      <c r="P177" s="123">
        <f>SUM(P138:P149)</f>
        <v>29974</v>
      </c>
      <c r="Q177" s="124">
        <f>P177/SUM(P126:P137)-1</f>
        <v>9.0955414012738878E-2</v>
      </c>
      <c r="R177" s="123">
        <f>SUM(R138:R149)</f>
        <v>1845</v>
      </c>
      <c r="S177" s="124">
        <f>R177/SUM(R126:R137)-1</f>
        <v>-0.40675241157556274</v>
      </c>
      <c r="T177" s="123">
        <f>SUM(T138:T149)</f>
        <v>277032</v>
      </c>
      <c r="U177" s="124">
        <f>T177/SUM(T126:T137)-1</f>
        <v>0.18108604731472511</v>
      </c>
      <c r="V177" s="123"/>
      <c r="W177" s="124"/>
      <c r="X177" s="123"/>
      <c r="Y177" s="124"/>
      <c r="Z177" s="123">
        <f>SUM(Z138:Z149)</f>
        <v>17737</v>
      </c>
      <c r="AA177" s="124">
        <f>Z177/Z176-1</f>
        <v>-5.0715654231936469E-4</v>
      </c>
      <c r="AB177" s="123"/>
      <c r="AC177" s="123"/>
      <c r="AD177" s="123"/>
      <c r="AE177" s="124"/>
      <c r="AF177" s="123"/>
      <c r="AG177" s="124"/>
    </row>
    <row r="178" spans="1:52" s="297" customFormat="1" ht="16.5" customHeight="1" thickBot="1">
      <c r="A178" s="104" t="s">
        <v>219</v>
      </c>
      <c r="B178" s="105" t="s">
        <v>222</v>
      </c>
      <c r="C178" s="123">
        <f>SUM(C150:C161)</f>
        <v>22383190</v>
      </c>
      <c r="D178" s="124">
        <f>C178/SUM(C138:C149)-1</f>
        <v>0.15912436957644127</v>
      </c>
      <c r="E178" s="295"/>
      <c r="F178" s="123">
        <f>IFERROR(SUM(F150:F161),"-")</f>
        <v>278384</v>
      </c>
      <c r="G178" s="124">
        <f>IFERROR(F178/SUM(F138:F147)-1,"-")</f>
        <v>8.069581555685823E-2</v>
      </c>
      <c r="H178" s="123">
        <f>IFERROR(SUM(H150:H161),"-")</f>
        <v>172607</v>
      </c>
      <c r="I178" s="124">
        <f>IFERROR(H178/SUM(H138:H146)-1,"-")</f>
        <v>-0.12680979795016034</v>
      </c>
      <c r="J178" s="123">
        <f>SUM(J150:J161)</f>
        <v>137876</v>
      </c>
      <c r="K178" s="124">
        <f>J178/SUM(J138:J146)-1</f>
        <v>0.1909269944373424</v>
      </c>
      <c r="L178" s="123">
        <f>IFERROR(SUM(L150:L161),"-")</f>
        <v>2294</v>
      </c>
      <c r="M178" s="124">
        <f>IFERROR(L178/SUM(L138:L148)-1,"-")</f>
        <v>-0.37815126050420167</v>
      </c>
      <c r="N178" s="123">
        <f>IFERROR(SUM(N150:N161),"-")</f>
        <v>107531</v>
      </c>
      <c r="O178" s="124">
        <f>IFERROR(N178/SUM(N138:N148)-1,"-")</f>
        <v>0.22493592299367782</v>
      </c>
      <c r="P178" s="123">
        <f>IFERROR(SUM(P150:P161),"-")</f>
        <v>40744</v>
      </c>
      <c r="Q178" s="124">
        <f>IFERROR(P178/SUM(P138:P147)-1,"-")</f>
        <v>0.43717813051146392</v>
      </c>
      <c r="R178" s="123">
        <f>IFERROR(SUM(R150:R161),"-")</f>
        <v>3217</v>
      </c>
      <c r="S178" s="124">
        <f>IFERROR(R178/SUM(R138:R149)-1,"-")</f>
        <v>0.74363143631436324</v>
      </c>
      <c r="T178" s="123">
        <f>IFERROR(SUM(T150:T161),"-")</f>
        <v>258395</v>
      </c>
      <c r="U178" s="124">
        <f>IFERROR(T178/SUM(T138:T149)-1,"-")</f>
        <v>-6.7273816743192105E-2</v>
      </c>
      <c r="V178" s="123"/>
      <c r="W178" s="124"/>
      <c r="X178" s="123"/>
      <c r="Y178" s="124"/>
      <c r="Z178" s="123">
        <f>IFERROR(SUM(Z150:Z161),"-")</f>
        <v>15312</v>
      </c>
      <c r="AA178" s="124">
        <f>IFERROR(Z178/SUM(Z138:Z146)-1,"-")</f>
        <v>0.10524036379385016</v>
      </c>
      <c r="AB178" s="123"/>
      <c r="AC178" s="124"/>
      <c r="AD178" s="123"/>
      <c r="AE178" s="124"/>
      <c r="AF178" s="123"/>
      <c r="AG178" s="124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</row>
    <row r="179" spans="1:52">
      <c r="H179" s="279" t="s">
        <v>202</v>
      </c>
      <c r="V179" s="151" t="s">
        <v>79</v>
      </c>
      <c r="X179" s="151" t="s">
        <v>79</v>
      </c>
      <c r="Z179" s="151" t="s">
        <v>79</v>
      </c>
      <c r="AC179" s="152"/>
    </row>
    <row r="180" spans="1:52">
      <c r="D180" s="153"/>
    </row>
    <row r="181" spans="1:52">
      <c r="J181" s="154"/>
      <c r="W181" s="229"/>
      <c r="Y181" s="154"/>
      <c r="Z181" s="194"/>
      <c r="AA181" s="194"/>
      <c r="AB181" s="194"/>
      <c r="AC181" s="194"/>
      <c r="AF181" s="194"/>
      <c r="AG181" s="194"/>
    </row>
    <row r="182" spans="1:52">
      <c r="K182" s="268"/>
      <c r="W182" s="229"/>
      <c r="Y182" s="154"/>
      <c r="Z182" s="194"/>
      <c r="AA182" s="194"/>
      <c r="AB182" s="194"/>
      <c r="AC182" s="194"/>
      <c r="AF182" s="194"/>
      <c r="AG182" s="194"/>
    </row>
    <row r="183" spans="1:52">
      <c r="R183" s="154"/>
      <c r="W183" s="229"/>
      <c r="Y183" s="154"/>
    </row>
    <row r="184" spans="1:52">
      <c r="K184" s="194"/>
      <c r="W184" s="229"/>
      <c r="Y184" s="154"/>
    </row>
    <row r="185" spans="1:52">
      <c r="W185" s="229"/>
      <c r="X185" s="230"/>
      <c r="Y185" s="154"/>
      <c r="AB185" s="154"/>
    </row>
    <row r="186" spans="1:52">
      <c r="W186" s="229"/>
      <c r="X186" s="230"/>
      <c r="Y186" s="154"/>
    </row>
    <row r="187" spans="1:52">
      <c r="W187" s="229"/>
      <c r="X187" s="230"/>
    </row>
    <row r="188" spans="1:52">
      <c r="W188" s="229"/>
      <c r="X188" s="230"/>
    </row>
    <row r="189" spans="1:52">
      <c r="W189" s="229"/>
      <c r="X189" s="230"/>
      <c r="AA189" s="154"/>
    </row>
    <row r="190" spans="1:52">
      <c r="W190" s="229"/>
      <c r="X190" s="230"/>
      <c r="AA190" s="154"/>
    </row>
    <row r="191" spans="1:52">
      <c r="W191" s="229"/>
      <c r="X191" s="230"/>
    </row>
    <row r="192" spans="1:52">
      <c r="P192" s="153"/>
      <c r="Q192" s="153"/>
      <c r="R192" s="153"/>
      <c r="S192" s="153"/>
      <c r="T192" s="153"/>
      <c r="U192" s="153"/>
      <c r="V192" s="153"/>
      <c r="W192" s="229"/>
      <c r="X192" s="230"/>
    </row>
    <row r="193" spans="16:24">
      <c r="P193" s="153"/>
      <c r="Q193" s="153"/>
      <c r="R193" s="153"/>
      <c r="S193" s="153"/>
      <c r="T193" s="153"/>
      <c r="U193" s="153"/>
      <c r="V193" s="153"/>
      <c r="W193" s="229"/>
      <c r="X193" s="230"/>
    </row>
    <row r="194" spans="16:24">
      <c r="P194" s="153"/>
      <c r="Q194" s="153"/>
      <c r="R194" s="153"/>
      <c r="S194" s="153"/>
      <c r="T194" s="153"/>
      <c r="U194" s="153"/>
      <c r="V194" s="153"/>
      <c r="W194" s="229"/>
      <c r="X194" s="230"/>
    </row>
    <row r="195" spans="16:24">
      <c r="P195" s="153"/>
      <c r="Q195" s="153"/>
      <c r="R195" s="153"/>
      <c r="S195" s="153"/>
      <c r="T195" s="153"/>
      <c r="U195" s="153"/>
      <c r="V195" s="153"/>
      <c r="W195" s="229"/>
      <c r="X195" s="230"/>
    </row>
    <row r="196" spans="16:24">
      <c r="P196" s="153"/>
      <c r="Q196" s="153"/>
      <c r="R196" s="153"/>
      <c r="S196" s="153"/>
      <c r="T196" s="153"/>
      <c r="U196" s="153"/>
      <c r="V196" s="153"/>
      <c r="W196" s="229"/>
      <c r="X196" s="230"/>
    </row>
    <row r="197" spans="16:24">
      <c r="P197" s="153"/>
      <c r="Q197" s="153"/>
      <c r="R197" s="153"/>
      <c r="S197" s="153"/>
      <c r="T197" s="153"/>
      <c r="U197" s="153"/>
      <c r="V197" s="153"/>
      <c r="W197" s="229"/>
    </row>
    <row r="198" spans="16:24">
      <c r="P198" s="153"/>
      <c r="Q198" s="153"/>
      <c r="R198" s="153"/>
      <c r="S198" s="208"/>
      <c r="T198" s="209"/>
      <c r="U198" s="153"/>
      <c r="V198" s="153"/>
      <c r="W198" s="229"/>
    </row>
    <row r="199" spans="16:24">
      <c r="P199" s="153"/>
      <c r="Q199" s="153"/>
      <c r="R199" s="153"/>
      <c r="S199" s="208"/>
      <c r="T199" s="209"/>
      <c r="U199" s="153"/>
      <c r="V199" s="153"/>
      <c r="W199" s="229"/>
    </row>
    <row r="200" spans="16:24">
      <c r="P200" s="153"/>
      <c r="Q200" s="153"/>
      <c r="R200" s="153"/>
      <c r="S200" s="208"/>
      <c r="T200" s="209"/>
      <c r="U200" s="153"/>
      <c r="V200" s="153"/>
      <c r="W200" s="229"/>
    </row>
    <row r="201" spans="16:24">
      <c r="P201" s="153"/>
      <c r="Q201" s="153"/>
      <c r="R201" s="153"/>
      <c r="S201" s="153"/>
      <c r="T201" s="153"/>
      <c r="U201" s="153"/>
      <c r="V201" s="153"/>
      <c r="W201" s="153"/>
      <c r="X201" s="153"/>
    </row>
    <row r="202" spans="16:24">
      <c r="P202" s="153"/>
      <c r="Q202" s="153"/>
      <c r="R202" s="153"/>
      <c r="S202" s="153"/>
      <c r="T202" s="153"/>
      <c r="U202" s="153"/>
      <c r="V202" s="153"/>
      <c r="W202" s="153"/>
      <c r="X202" s="153"/>
    </row>
    <row r="203" spans="16:24"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6:24"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6:24"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6:24"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6:24"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6:24"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6:24"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6:24"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6:24">
      <c r="P211" s="153"/>
      <c r="Q211" s="153"/>
      <c r="R211" s="153"/>
      <c r="S211" s="153"/>
      <c r="T211" s="153"/>
      <c r="U211" s="153"/>
      <c r="V211" s="153"/>
      <c r="W211" s="153"/>
      <c r="X211" s="153"/>
    </row>
    <row r="212" spans="16:24">
      <c r="P212" s="153"/>
      <c r="Q212" s="153"/>
      <c r="R212" s="153"/>
      <c r="S212" s="208"/>
      <c r="T212" s="209"/>
      <c r="U212" s="153"/>
      <c r="V212" s="153"/>
      <c r="W212" s="153"/>
      <c r="X212" s="153"/>
    </row>
    <row r="213" spans="16:24">
      <c r="P213" s="153"/>
      <c r="Q213" s="153"/>
      <c r="R213" s="153"/>
      <c r="S213" s="208"/>
      <c r="T213" s="209"/>
      <c r="U213" s="153"/>
      <c r="V213" s="153"/>
      <c r="W213" s="153"/>
      <c r="X213" s="153"/>
    </row>
    <row r="214" spans="16:24">
      <c r="P214" s="153"/>
      <c r="Q214" s="153"/>
      <c r="R214" s="153"/>
      <c r="S214" s="208"/>
      <c r="T214" s="209"/>
      <c r="U214" s="153"/>
      <c r="V214" s="153"/>
      <c r="W214" s="153"/>
      <c r="X214" s="153"/>
    </row>
    <row r="215" spans="16:24">
      <c r="P215" s="153"/>
      <c r="Q215" s="153"/>
      <c r="R215" s="153"/>
      <c r="S215" s="153"/>
      <c r="T215" s="153"/>
      <c r="U215" s="153"/>
      <c r="V215" s="153"/>
      <c r="W215" s="153"/>
      <c r="X215" s="153"/>
    </row>
    <row r="216" spans="16:24">
      <c r="P216" s="153"/>
      <c r="Q216" s="153"/>
      <c r="R216" s="153"/>
      <c r="S216" s="153"/>
      <c r="T216" s="153"/>
      <c r="U216" s="210"/>
      <c r="V216" s="211"/>
      <c r="W216" s="211"/>
      <c r="X216" s="153"/>
    </row>
    <row r="217" spans="16:24">
      <c r="P217" s="153"/>
      <c r="Q217" s="153"/>
      <c r="R217" s="153"/>
      <c r="S217" s="153"/>
      <c r="T217" s="153"/>
      <c r="U217" s="210"/>
      <c r="V217" s="211"/>
      <c r="W217" s="211"/>
      <c r="X217" s="153"/>
    </row>
    <row r="218" spans="16:24">
      <c r="P218" s="153"/>
      <c r="Q218" s="153"/>
      <c r="R218" s="153"/>
      <c r="S218" s="153"/>
      <c r="T218" s="153"/>
      <c r="U218" s="153"/>
      <c r="V218" s="153"/>
      <c r="W218" s="153"/>
      <c r="X218" s="153"/>
    </row>
    <row r="219" spans="16:24">
      <c r="P219" s="153"/>
      <c r="Q219" s="153"/>
      <c r="R219" s="153"/>
      <c r="S219" s="153"/>
      <c r="T219" s="153"/>
      <c r="U219" s="153"/>
      <c r="V219" s="153"/>
      <c r="W219" s="153"/>
      <c r="X219" s="153"/>
    </row>
  </sheetData>
  <mergeCells count="219">
    <mergeCell ref="I156:I158"/>
    <mergeCell ref="Z153:Z155"/>
    <mergeCell ref="Z156:Z158"/>
    <mergeCell ref="AA153:AA155"/>
    <mergeCell ref="AA156:AA158"/>
    <mergeCell ref="A150:A161"/>
    <mergeCell ref="K135:K137"/>
    <mergeCell ref="K132:K134"/>
    <mergeCell ref="K144:K146"/>
    <mergeCell ref="J147:J149"/>
    <mergeCell ref="K147:K149"/>
    <mergeCell ref="H144:H146"/>
    <mergeCell ref="I144:I146"/>
    <mergeCell ref="H147:H149"/>
    <mergeCell ref="I147:I149"/>
    <mergeCell ref="I132:I134"/>
    <mergeCell ref="A138:A149"/>
    <mergeCell ref="A126:A137"/>
    <mergeCell ref="K138:K140"/>
    <mergeCell ref="H150:H152"/>
    <mergeCell ref="I150:I152"/>
    <mergeCell ref="H153:H155"/>
    <mergeCell ref="I153:I155"/>
    <mergeCell ref="H141:H143"/>
    <mergeCell ref="I141:I143"/>
    <mergeCell ref="H132:H134"/>
    <mergeCell ref="J138:J140"/>
    <mergeCell ref="J141:J143"/>
    <mergeCell ref="J144:J146"/>
    <mergeCell ref="A102:A113"/>
    <mergeCell ref="I111:I113"/>
    <mergeCell ref="J114:J116"/>
    <mergeCell ref="I135:I137"/>
    <mergeCell ref="H129:H131"/>
    <mergeCell ref="H126:H128"/>
    <mergeCell ref="H108:H110"/>
    <mergeCell ref="H111:H113"/>
    <mergeCell ref="H138:H140"/>
    <mergeCell ref="I138:I140"/>
    <mergeCell ref="H114:H116"/>
    <mergeCell ref="H102:H104"/>
    <mergeCell ref="H105:H107"/>
    <mergeCell ref="A114:A125"/>
    <mergeCell ref="A66:A77"/>
    <mergeCell ref="A54:A65"/>
    <mergeCell ref="J42:J53"/>
    <mergeCell ref="I51:I53"/>
    <mergeCell ref="J66:J77"/>
    <mergeCell ref="J78:J89"/>
    <mergeCell ref="A90:A101"/>
    <mergeCell ref="H66:H68"/>
    <mergeCell ref="J123:J125"/>
    <mergeCell ref="I87:I89"/>
    <mergeCell ref="J90:J101"/>
    <mergeCell ref="J102:J113"/>
    <mergeCell ref="I108:I110"/>
    <mergeCell ref="J54:J65"/>
    <mergeCell ref="I66:I68"/>
    <mergeCell ref="I75:I77"/>
    <mergeCell ref="I93:I95"/>
    <mergeCell ref="I72:I74"/>
    <mergeCell ref="H123:H125"/>
    <mergeCell ref="I123:I125"/>
    <mergeCell ref="H63:H65"/>
    <mergeCell ref="H72:H74"/>
    <mergeCell ref="H75:H77"/>
    <mergeCell ref="I63:I65"/>
    <mergeCell ref="A6:A17"/>
    <mergeCell ref="H39:H41"/>
    <mergeCell ref="J30:J41"/>
    <mergeCell ref="H33:H35"/>
    <mergeCell ref="H45:H47"/>
    <mergeCell ref="I69:I71"/>
    <mergeCell ref="I78:I80"/>
    <mergeCell ref="H87:H89"/>
    <mergeCell ref="I81:I83"/>
    <mergeCell ref="H48:H50"/>
    <mergeCell ref="A42:A53"/>
    <mergeCell ref="H84:H86"/>
    <mergeCell ref="H78:H80"/>
    <mergeCell ref="H81:H83"/>
    <mergeCell ref="A78:A89"/>
    <mergeCell ref="A30:A41"/>
    <mergeCell ref="A18:A29"/>
    <mergeCell ref="I30:I32"/>
    <mergeCell ref="I36:I38"/>
    <mergeCell ref="I27:I29"/>
    <mergeCell ref="I48:I50"/>
    <mergeCell ref="I18:I20"/>
    <mergeCell ref="I39:I41"/>
    <mergeCell ref="I33:I35"/>
    <mergeCell ref="K15:K17"/>
    <mergeCell ref="K12:K14"/>
    <mergeCell ref="K42:K53"/>
    <mergeCell ref="K18:K20"/>
    <mergeCell ref="I45:I47"/>
    <mergeCell ref="H15:H17"/>
    <mergeCell ref="H51:H53"/>
    <mergeCell ref="I60:I62"/>
    <mergeCell ref="I54:I56"/>
    <mergeCell ref="H57:H59"/>
    <mergeCell ref="H54:H56"/>
    <mergeCell ref="I57:I59"/>
    <mergeCell ref="H24:H26"/>
    <mergeCell ref="H30:H32"/>
    <mergeCell ref="K21:K23"/>
    <mergeCell ref="I24:I26"/>
    <mergeCell ref="H21:H23"/>
    <mergeCell ref="H69:H71"/>
    <mergeCell ref="H60:H62"/>
    <mergeCell ref="K30:K41"/>
    <mergeCell ref="K54:K65"/>
    <mergeCell ref="K66:K77"/>
    <mergeCell ref="I15:I17"/>
    <mergeCell ref="H12:H14"/>
    <mergeCell ref="I12:I14"/>
    <mergeCell ref="K9:K11"/>
    <mergeCell ref="J6:J17"/>
    <mergeCell ref="I6:I8"/>
    <mergeCell ref="I42:I44"/>
    <mergeCell ref="K24:K26"/>
    <mergeCell ref="K6:K8"/>
    <mergeCell ref="I9:I11"/>
    <mergeCell ref="H6:H8"/>
    <mergeCell ref="H9:H11"/>
    <mergeCell ref="K27:K29"/>
    <mergeCell ref="J18:J29"/>
    <mergeCell ref="I21:I23"/>
    <mergeCell ref="H18:H20"/>
    <mergeCell ref="H27:H29"/>
    <mergeCell ref="H42:H44"/>
    <mergeCell ref="H36:H38"/>
    <mergeCell ref="A2:B5"/>
    <mergeCell ref="A1:B1"/>
    <mergeCell ref="L3:M3"/>
    <mergeCell ref="N3:O3"/>
    <mergeCell ref="C2:D2"/>
    <mergeCell ref="C3:D3"/>
    <mergeCell ref="F3:G3"/>
    <mergeCell ref="J3:K3"/>
    <mergeCell ref="AF3:AG3"/>
    <mergeCell ref="AB3:AC3"/>
    <mergeCell ref="Z3:AA3"/>
    <mergeCell ref="V3:W3"/>
    <mergeCell ref="T3:U3"/>
    <mergeCell ref="X3:Y3"/>
    <mergeCell ref="AD3:AE3"/>
    <mergeCell ref="H3:I3"/>
    <mergeCell ref="R3:S3"/>
    <mergeCell ref="P3:Q3"/>
    <mergeCell ref="C1:K1"/>
    <mergeCell ref="F2:G2"/>
    <mergeCell ref="J117:J119"/>
    <mergeCell ref="Z129:Z131"/>
    <mergeCell ref="K102:K113"/>
    <mergeCell ref="Z102:Z107"/>
    <mergeCell ref="Z123:Z125"/>
    <mergeCell ref="K114:K125"/>
    <mergeCell ref="K129:K131"/>
    <mergeCell ref="Z126:Z128"/>
    <mergeCell ref="AA108:AA110"/>
    <mergeCell ref="K126:K128"/>
    <mergeCell ref="AA120:AA122"/>
    <mergeCell ref="J129:J131"/>
    <mergeCell ref="J132:J134"/>
    <mergeCell ref="J135:J137"/>
    <mergeCell ref="AA123:AA125"/>
    <mergeCell ref="Z132:Z134"/>
    <mergeCell ref="AA132:AA134"/>
    <mergeCell ref="AA135:AA137"/>
    <mergeCell ref="J120:J122"/>
    <mergeCell ref="K90:K101"/>
    <mergeCell ref="Z135:Z137"/>
    <mergeCell ref="H96:H98"/>
    <mergeCell ref="I90:I92"/>
    <mergeCell ref="H93:H95"/>
    <mergeCell ref="I84:I86"/>
    <mergeCell ref="I96:I98"/>
    <mergeCell ref="H90:H92"/>
    <mergeCell ref="I99:I101"/>
    <mergeCell ref="I102:I104"/>
    <mergeCell ref="I117:I119"/>
    <mergeCell ref="I120:I122"/>
    <mergeCell ref="I114:I116"/>
    <mergeCell ref="I105:I107"/>
    <mergeCell ref="H99:H101"/>
    <mergeCell ref="H117:H119"/>
    <mergeCell ref="H120:H122"/>
    <mergeCell ref="K78:K89"/>
    <mergeCell ref="H135:H137"/>
    <mergeCell ref="I126:I128"/>
    <mergeCell ref="I129:I131"/>
    <mergeCell ref="J126:J128"/>
    <mergeCell ref="Z111:Z113"/>
    <mergeCell ref="Z120:Z122"/>
    <mergeCell ref="H156:H158"/>
    <mergeCell ref="J150:J152"/>
    <mergeCell ref="J153:J155"/>
    <mergeCell ref="J156:J158"/>
    <mergeCell ref="K150:K152"/>
    <mergeCell ref="K153:K155"/>
    <mergeCell ref="K156:K158"/>
    <mergeCell ref="AA114:AA119"/>
    <mergeCell ref="AA102:AA107"/>
    <mergeCell ref="Z150:Z152"/>
    <mergeCell ref="AA150:AA152"/>
    <mergeCell ref="Z141:Z143"/>
    <mergeCell ref="AA141:AA143"/>
    <mergeCell ref="Z138:Z140"/>
    <mergeCell ref="AA138:AA140"/>
    <mergeCell ref="AA129:AA131"/>
    <mergeCell ref="AA126:AA128"/>
    <mergeCell ref="Z147:Z149"/>
    <mergeCell ref="AA147:AA149"/>
    <mergeCell ref="Z144:Z146"/>
    <mergeCell ref="AA144:AA146"/>
    <mergeCell ref="K141:K143"/>
    <mergeCell ref="Z108:Z110"/>
    <mergeCell ref="Z114:Z119"/>
  </mergeCells>
  <phoneticPr fontId="2" type="noConversion"/>
  <pageMargins left="0.15748031496062992" right="0.15748031496062992" top="0.39370078740157483" bottom="0" header="0.11811023622047245" footer="0"/>
  <pageSetup paperSize="9" scale="58" orientation="landscape" r:id="rId1"/>
  <headerFooter alignWithMargins="0"/>
  <colBreaks count="1" manualBreakCount="1">
    <brk id="17" max="165" man="1"/>
  </colBreaks>
  <ignoredErrors>
    <ignoredError sqref="C167:D175 AF167:AG175 F176 W176 AB176 C176 AC166:AC175" formulaRange="1"/>
    <ignoredError sqref="F175:G175 F167:O172 P167:AB173 G176 X176 P166:AB166 Z176 Q176:R176 J176:K176 F173:L173 N173:O173 P174:AB175 T176:V176 M176:O176 F174:G174 I174:O174 I175:O175" formula="1" formulaRange="1"/>
    <ignoredError sqref="F164:O165 F166:O166 P164:AB16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P184"/>
  <sheetViews>
    <sheetView zoomScaleNormal="100" zoomScaleSheetLayoutView="55" workbookViewId="0">
      <pane xSplit="2" ySplit="5" topLeftCell="C158" activePane="bottomRight" state="frozen"/>
      <selection pane="topRight" activeCell="C1" sqref="C1"/>
      <selection pane="bottomLeft" activeCell="A6" sqref="A6"/>
      <selection pane="bottomRight" activeCell="C178" sqref="C178"/>
    </sheetView>
  </sheetViews>
  <sheetFormatPr defaultRowHeight="16.5"/>
  <cols>
    <col min="1" max="1" width="6.109375" style="151" bestFit="1" customWidth="1"/>
    <col min="2" max="2" width="4.5546875" style="151" bestFit="1" customWidth="1"/>
    <col min="3" max="3" width="9" style="151" bestFit="1" customWidth="1"/>
    <col min="4" max="4" width="7.33203125" style="151" bestFit="1" customWidth="1"/>
    <col min="5" max="5" width="2.5546875" style="151" customWidth="1"/>
    <col min="6" max="6" width="10.44140625" style="151" bestFit="1" customWidth="1"/>
    <col min="7" max="7" width="9.44140625" style="151" bestFit="1" customWidth="1"/>
    <col min="8" max="8" width="8.109375" style="151" bestFit="1" customWidth="1"/>
    <col min="9" max="9" width="9.44140625" style="151" bestFit="1" customWidth="1"/>
    <col min="10" max="10" width="7.77734375" style="151" bestFit="1" customWidth="1"/>
    <col min="11" max="11" width="9.44140625" style="151" bestFit="1" customWidth="1"/>
    <col min="12" max="12" width="7.77734375" style="151" bestFit="1" customWidth="1"/>
    <col min="13" max="13" width="9.44140625" style="151" bestFit="1" customWidth="1"/>
    <col min="14" max="14" width="7.77734375" style="151" bestFit="1" customWidth="1"/>
    <col min="15" max="15" width="9.44140625" style="151" bestFit="1" customWidth="1"/>
    <col min="16" max="16" width="7.77734375" style="151" bestFit="1" customWidth="1"/>
    <col min="17" max="17" width="9.44140625" style="151" bestFit="1" customWidth="1"/>
    <col min="18" max="18" width="7.77734375" style="170" bestFit="1" customWidth="1"/>
    <col min="19" max="19" width="9.44140625" style="151" bestFit="1" customWidth="1"/>
    <col min="20" max="20" width="7.77734375" style="151" bestFit="1" customWidth="1"/>
    <col min="21" max="21" width="9.44140625" style="151" bestFit="1" customWidth="1"/>
    <col min="22" max="22" width="7.77734375" style="151" bestFit="1" customWidth="1"/>
    <col min="23" max="23" width="9.44140625" style="151" bestFit="1" customWidth="1"/>
    <col min="24" max="24" width="7.77734375" style="151" bestFit="1" customWidth="1"/>
    <col min="25" max="25" width="9.44140625" style="151" bestFit="1" customWidth="1"/>
    <col min="26" max="26" width="7.77734375" style="151" bestFit="1" customWidth="1"/>
    <col min="27" max="27" width="9.44140625" style="151" bestFit="1" customWidth="1"/>
    <col min="28" max="28" width="7.77734375" style="151" bestFit="1" customWidth="1"/>
    <col min="29" max="29" width="9.44140625" style="151" bestFit="1" customWidth="1"/>
    <col min="30" max="16384" width="8.88671875" style="151"/>
  </cols>
  <sheetData>
    <row r="1" spans="1:29" s="152" customFormat="1" ht="32.25" thickBot="1">
      <c r="A1" s="460"/>
      <c r="B1" s="460"/>
      <c r="C1" s="434" t="s">
        <v>230</v>
      </c>
      <c r="D1" s="434"/>
      <c r="E1" s="434"/>
      <c r="F1" s="434"/>
      <c r="G1" s="434"/>
      <c r="H1" s="434"/>
      <c r="I1" s="434"/>
      <c r="J1" s="434"/>
      <c r="K1" s="434"/>
      <c r="L1" s="155"/>
      <c r="M1" s="155"/>
      <c r="R1" s="167"/>
    </row>
    <row r="2" spans="1:29" s="152" customFormat="1" ht="24.75" thickBot="1">
      <c r="A2" s="467"/>
      <c r="B2" s="468"/>
      <c r="C2" s="463" t="s">
        <v>0</v>
      </c>
      <c r="D2" s="464"/>
      <c r="E2" s="178"/>
      <c r="F2" s="465" t="s">
        <v>198</v>
      </c>
      <c r="G2" s="466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4"/>
    </row>
    <row r="3" spans="1:29" s="152" customFormat="1" ht="17.25">
      <c r="A3" s="469"/>
      <c r="B3" s="470"/>
      <c r="C3" s="441" t="s">
        <v>101</v>
      </c>
      <c r="D3" s="442"/>
      <c r="E3" s="218"/>
      <c r="F3" s="441" t="s">
        <v>5</v>
      </c>
      <c r="G3" s="442"/>
      <c r="H3" s="441" t="s">
        <v>199</v>
      </c>
      <c r="I3" s="442"/>
      <c r="J3" s="441" t="s">
        <v>78</v>
      </c>
      <c r="K3" s="442"/>
      <c r="L3" s="441" t="s">
        <v>82</v>
      </c>
      <c r="M3" s="442"/>
      <c r="N3" s="441" t="s">
        <v>85</v>
      </c>
      <c r="O3" s="442"/>
      <c r="P3" s="441" t="s">
        <v>86</v>
      </c>
      <c r="Q3" s="442"/>
      <c r="R3" s="441" t="s">
        <v>84</v>
      </c>
      <c r="S3" s="442"/>
      <c r="T3" s="441" t="s">
        <v>83</v>
      </c>
      <c r="U3" s="442"/>
      <c r="V3" s="441" t="s">
        <v>80</v>
      </c>
      <c r="W3" s="442"/>
      <c r="X3" s="441" t="s">
        <v>91</v>
      </c>
      <c r="Y3" s="444"/>
      <c r="Z3" s="443" t="s">
        <v>81</v>
      </c>
      <c r="AA3" s="442"/>
      <c r="AB3" s="441" t="s">
        <v>72</v>
      </c>
      <c r="AC3" s="442"/>
    </row>
    <row r="4" spans="1:29" s="152" customFormat="1" ht="13.5">
      <c r="A4" s="469"/>
      <c r="B4" s="470"/>
      <c r="C4" s="109" t="s">
        <v>8</v>
      </c>
      <c r="D4" s="110" t="s">
        <v>9</v>
      </c>
      <c r="E4" s="178"/>
      <c r="F4" s="109" t="s">
        <v>13</v>
      </c>
      <c r="G4" s="110" t="s">
        <v>40</v>
      </c>
      <c r="H4" s="146" t="s">
        <v>10</v>
      </c>
      <c r="I4" s="146" t="s">
        <v>11</v>
      </c>
      <c r="J4" s="109" t="s">
        <v>10</v>
      </c>
      <c r="K4" s="110" t="s">
        <v>11</v>
      </c>
      <c r="L4" s="109" t="s">
        <v>10</v>
      </c>
      <c r="M4" s="110" t="s">
        <v>11</v>
      </c>
      <c r="N4" s="109" t="s">
        <v>10</v>
      </c>
      <c r="O4" s="110" t="s">
        <v>11</v>
      </c>
      <c r="P4" s="109" t="s">
        <v>10</v>
      </c>
      <c r="Q4" s="110" t="s">
        <v>11</v>
      </c>
      <c r="R4" s="109" t="s">
        <v>10</v>
      </c>
      <c r="S4" s="110" t="s">
        <v>11</v>
      </c>
      <c r="T4" s="109" t="s">
        <v>10</v>
      </c>
      <c r="U4" s="110" t="s">
        <v>11</v>
      </c>
      <c r="V4" s="109" t="s">
        <v>10</v>
      </c>
      <c r="W4" s="110" t="s">
        <v>11</v>
      </c>
      <c r="X4" s="109" t="s">
        <v>10</v>
      </c>
      <c r="Y4" s="110" t="s">
        <v>11</v>
      </c>
      <c r="Z4" s="109" t="s">
        <v>10</v>
      </c>
      <c r="AA4" s="110" t="s">
        <v>11</v>
      </c>
      <c r="AB4" s="109" t="s">
        <v>10</v>
      </c>
      <c r="AC4" s="110" t="s">
        <v>11</v>
      </c>
    </row>
    <row r="5" spans="1:29" s="152" customFormat="1" ht="14.25" thickBot="1">
      <c r="A5" s="471"/>
      <c r="B5" s="472"/>
      <c r="C5" s="109" t="s">
        <v>14</v>
      </c>
      <c r="D5" s="147" t="s">
        <v>15</v>
      </c>
      <c r="E5" s="178"/>
      <c r="F5" s="148" t="s">
        <v>14</v>
      </c>
      <c r="G5" s="107" t="s">
        <v>15</v>
      </c>
      <c r="H5" s="108" t="s">
        <v>14</v>
      </c>
      <c r="I5" s="149" t="s">
        <v>15</v>
      </c>
      <c r="J5" s="106" t="s">
        <v>14</v>
      </c>
      <c r="K5" s="150" t="s">
        <v>15</v>
      </c>
      <c r="L5" s="106" t="s">
        <v>14</v>
      </c>
      <c r="M5" s="150" t="s">
        <v>15</v>
      </c>
      <c r="N5" s="106" t="s">
        <v>14</v>
      </c>
      <c r="O5" s="150" t="s">
        <v>15</v>
      </c>
      <c r="P5" s="106" t="s">
        <v>14</v>
      </c>
      <c r="Q5" s="150" t="s">
        <v>15</v>
      </c>
      <c r="R5" s="106" t="s">
        <v>14</v>
      </c>
      <c r="S5" s="150" t="s">
        <v>15</v>
      </c>
      <c r="T5" s="106" t="s">
        <v>14</v>
      </c>
      <c r="U5" s="150" t="s">
        <v>15</v>
      </c>
      <c r="V5" s="106" t="s">
        <v>14</v>
      </c>
      <c r="W5" s="150" t="s">
        <v>15</v>
      </c>
      <c r="X5" s="106" t="s">
        <v>14</v>
      </c>
      <c r="Y5" s="150" t="s">
        <v>15</v>
      </c>
      <c r="Z5" s="106" t="s">
        <v>14</v>
      </c>
      <c r="AA5" s="150" t="s">
        <v>15</v>
      </c>
      <c r="AB5" s="106" t="s">
        <v>14</v>
      </c>
      <c r="AC5" s="150" t="s">
        <v>15</v>
      </c>
    </row>
    <row r="6" spans="1:29" s="152" customFormat="1" ht="13.5" customHeight="1">
      <c r="A6" s="461" t="s">
        <v>34</v>
      </c>
      <c r="B6" s="15" t="s">
        <v>35</v>
      </c>
      <c r="C6" s="3">
        <v>793478</v>
      </c>
      <c r="D6" s="4"/>
      <c r="E6" s="178"/>
      <c r="F6" s="5">
        <v>11010</v>
      </c>
      <c r="G6" s="139"/>
      <c r="H6" s="27">
        <v>63341</v>
      </c>
      <c r="I6" s="139"/>
      <c r="J6" s="3">
        <v>32</v>
      </c>
      <c r="K6" s="4"/>
      <c r="L6" s="3"/>
      <c r="M6" s="4"/>
      <c r="N6" s="98"/>
      <c r="O6" s="9"/>
      <c r="P6" s="98"/>
      <c r="Q6" s="9"/>
      <c r="R6" s="3"/>
      <c r="S6" s="9"/>
      <c r="T6" s="3">
        <v>35</v>
      </c>
      <c r="U6" s="9"/>
      <c r="V6" s="411">
        <v>4641</v>
      </c>
      <c r="W6" s="506"/>
      <c r="X6" s="3"/>
      <c r="Y6" s="4"/>
      <c r="Z6" s="3"/>
      <c r="AA6" s="4"/>
      <c r="AB6" s="3">
        <v>2335</v>
      </c>
      <c r="AC6" s="4"/>
    </row>
    <row r="7" spans="1:29" s="152" customFormat="1" ht="13.5" customHeight="1">
      <c r="A7" s="461"/>
      <c r="B7" s="15" t="s">
        <v>36</v>
      </c>
      <c r="C7" s="3">
        <v>670447</v>
      </c>
      <c r="D7" s="4"/>
      <c r="E7" s="178"/>
      <c r="F7" s="5">
        <v>7701</v>
      </c>
      <c r="G7" s="6"/>
      <c r="H7" s="7">
        <v>47191</v>
      </c>
      <c r="I7" s="8"/>
      <c r="J7" s="3">
        <v>23</v>
      </c>
      <c r="K7" s="4"/>
      <c r="L7" s="3"/>
      <c r="M7" s="4"/>
      <c r="N7" s="98"/>
      <c r="O7" s="9"/>
      <c r="P7" s="98"/>
      <c r="Q7" s="9"/>
      <c r="R7" s="3"/>
      <c r="S7" s="9"/>
      <c r="T7" s="3">
        <v>53</v>
      </c>
      <c r="U7" s="9"/>
      <c r="V7" s="412"/>
      <c r="W7" s="507"/>
      <c r="X7" s="3"/>
      <c r="Y7" s="4"/>
      <c r="Z7" s="3"/>
      <c r="AA7" s="4"/>
      <c r="AB7" s="3">
        <v>2515</v>
      </c>
      <c r="AC7" s="4"/>
    </row>
    <row r="8" spans="1:29" s="152" customFormat="1" ht="13.5" customHeight="1">
      <c r="A8" s="461"/>
      <c r="B8" s="15" t="s">
        <v>21</v>
      </c>
      <c r="C8" s="3">
        <v>587629</v>
      </c>
      <c r="D8" s="4"/>
      <c r="E8" s="178"/>
      <c r="F8" s="5">
        <v>8959</v>
      </c>
      <c r="G8" s="6"/>
      <c r="H8" s="7">
        <v>43664</v>
      </c>
      <c r="I8" s="8"/>
      <c r="J8" s="3">
        <v>14</v>
      </c>
      <c r="K8" s="4"/>
      <c r="L8" s="3"/>
      <c r="M8" s="4"/>
      <c r="N8" s="98"/>
      <c r="O8" s="9"/>
      <c r="P8" s="98"/>
      <c r="Q8" s="9"/>
      <c r="R8" s="3"/>
      <c r="S8" s="9"/>
      <c r="T8" s="3">
        <v>51</v>
      </c>
      <c r="U8" s="9"/>
      <c r="V8" s="412"/>
      <c r="W8" s="507"/>
      <c r="X8" s="3"/>
      <c r="Y8" s="4"/>
      <c r="Z8" s="3"/>
      <c r="AA8" s="4"/>
      <c r="AB8" s="3">
        <v>1804</v>
      </c>
      <c r="AC8" s="4"/>
    </row>
    <row r="9" spans="1:29" s="152" customFormat="1" ht="13.5" customHeight="1">
      <c r="A9" s="461"/>
      <c r="B9" s="15" t="s">
        <v>22</v>
      </c>
      <c r="C9" s="3">
        <v>642413</v>
      </c>
      <c r="D9" s="4"/>
      <c r="E9" s="178"/>
      <c r="F9" s="5">
        <v>10597</v>
      </c>
      <c r="G9" s="6"/>
      <c r="H9" s="7">
        <v>40831</v>
      </c>
      <c r="I9" s="8"/>
      <c r="J9" s="3">
        <v>10</v>
      </c>
      <c r="K9" s="4"/>
      <c r="L9" s="3"/>
      <c r="M9" s="4"/>
      <c r="N9" s="98"/>
      <c r="O9" s="9"/>
      <c r="P9" s="98"/>
      <c r="Q9" s="9"/>
      <c r="R9" s="3"/>
      <c r="S9" s="9"/>
      <c r="T9" s="3">
        <v>157</v>
      </c>
      <c r="U9" s="9"/>
      <c r="V9" s="412"/>
      <c r="W9" s="507"/>
      <c r="X9" s="3"/>
      <c r="Y9" s="4"/>
      <c r="Z9" s="3"/>
      <c r="AA9" s="4"/>
      <c r="AB9" s="3">
        <v>1379</v>
      </c>
      <c r="AC9" s="4"/>
    </row>
    <row r="10" spans="1:29" s="152" customFormat="1" ht="13.5" customHeight="1">
      <c r="A10" s="461"/>
      <c r="B10" s="15" t="s">
        <v>23</v>
      </c>
      <c r="C10" s="3">
        <v>680185</v>
      </c>
      <c r="D10" s="4"/>
      <c r="E10" s="178"/>
      <c r="F10" s="5">
        <v>12786</v>
      </c>
      <c r="G10" s="6"/>
      <c r="H10" s="7">
        <v>52600</v>
      </c>
      <c r="I10" s="8"/>
      <c r="J10" s="3">
        <v>30</v>
      </c>
      <c r="K10" s="4"/>
      <c r="L10" s="3"/>
      <c r="M10" s="4"/>
      <c r="N10" s="98"/>
      <c r="O10" s="9"/>
      <c r="P10" s="98"/>
      <c r="Q10" s="9"/>
      <c r="R10" s="3"/>
      <c r="S10" s="9"/>
      <c r="T10" s="3">
        <v>44</v>
      </c>
      <c r="U10" s="9"/>
      <c r="V10" s="412"/>
      <c r="W10" s="507"/>
      <c r="X10" s="3"/>
      <c r="Y10" s="4"/>
      <c r="Z10" s="3"/>
      <c r="AA10" s="4"/>
      <c r="AB10" s="3">
        <v>1668</v>
      </c>
      <c r="AC10" s="4"/>
    </row>
    <row r="11" spans="1:29" s="152" customFormat="1" ht="13.5" customHeight="1">
      <c r="A11" s="461"/>
      <c r="B11" s="15" t="s">
        <v>24</v>
      </c>
      <c r="C11" s="3">
        <v>712260</v>
      </c>
      <c r="D11" s="4"/>
      <c r="E11" s="178"/>
      <c r="F11" s="5">
        <v>18983</v>
      </c>
      <c r="G11" s="6"/>
      <c r="H11" s="7">
        <v>62410</v>
      </c>
      <c r="I11" s="8"/>
      <c r="J11" s="3">
        <v>7</v>
      </c>
      <c r="K11" s="4"/>
      <c r="L11" s="3"/>
      <c r="M11" s="4"/>
      <c r="N11" s="98"/>
      <c r="O11" s="9"/>
      <c r="P11" s="98"/>
      <c r="Q11" s="9"/>
      <c r="R11" s="3"/>
      <c r="S11" s="9"/>
      <c r="T11" s="3">
        <v>43</v>
      </c>
      <c r="U11" s="9"/>
      <c r="V11" s="412"/>
      <c r="W11" s="507"/>
      <c r="X11" s="3"/>
      <c r="Y11" s="4"/>
      <c r="Z11" s="3"/>
      <c r="AA11" s="4"/>
      <c r="AB11" s="3">
        <v>1754</v>
      </c>
      <c r="AC11" s="4"/>
    </row>
    <row r="12" spans="1:29" s="152" customFormat="1" ht="13.5" customHeight="1">
      <c r="A12" s="461"/>
      <c r="B12" s="15" t="s">
        <v>25</v>
      </c>
      <c r="C12" s="3">
        <v>897234</v>
      </c>
      <c r="D12" s="4"/>
      <c r="E12" s="178"/>
      <c r="F12" s="5">
        <v>25251</v>
      </c>
      <c r="G12" s="6"/>
      <c r="H12" s="7">
        <v>70805</v>
      </c>
      <c r="I12" s="8"/>
      <c r="J12" s="3">
        <v>20</v>
      </c>
      <c r="K12" s="4"/>
      <c r="L12" s="3"/>
      <c r="M12" s="4"/>
      <c r="N12" s="98"/>
      <c r="O12" s="9"/>
      <c r="P12" s="98"/>
      <c r="Q12" s="9"/>
      <c r="R12" s="3"/>
      <c r="S12" s="9"/>
      <c r="T12" s="3">
        <v>52</v>
      </c>
      <c r="U12" s="9"/>
      <c r="V12" s="412"/>
      <c r="W12" s="507"/>
      <c r="X12" s="3"/>
      <c r="Y12" s="4"/>
      <c r="Z12" s="3"/>
      <c r="AA12" s="4"/>
      <c r="AB12" s="3">
        <v>1553</v>
      </c>
      <c r="AC12" s="4"/>
    </row>
    <row r="13" spans="1:29" s="152" customFormat="1" ht="13.5" customHeight="1">
      <c r="A13" s="461"/>
      <c r="B13" s="15" t="s">
        <v>26</v>
      </c>
      <c r="C13" s="3">
        <v>930573</v>
      </c>
      <c r="D13" s="4"/>
      <c r="E13" s="178"/>
      <c r="F13" s="5">
        <v>22309</v>
      </c>
      <c r="G13" s="6"/>
      <c r="H13" s="7">
        <v>66825</v>
      </c>
      <c r="I13" s="8"/>
      <c r="J13" s="3">
        <v>20</v>
      </c>
      <c r="K13" s="4"/>
      <c r="L13" s="3"/>
      <c r="M13" s="4"/>
      <c r="N13" s="98"/>
      <c r="O13" s="9"/>
      <c r="P13" s="98"/>
      <c r="Q13" s="9"/>
      <c r="R13" s="3"/>
      <c r="S13" s="9"/>
      <c r="T13" s="3">
        <v>119</v>
      </c>
      <c r="U13" s="9"/>
      <c r="V13" s="412"/>
      <c r="W13" s="507"/>
      <c r="X13" s="3"/>
      <c r="Y13" s="4"/>
      <c r="Z13" s="3"/>
      <c r="AA13" s="4"/>
      <c r="AB13" s="3">
        <v>1806</v>
      </c>
      <c r="AC13" s="4"/>
    </row>
    <row r="14" spans="1:29" s="152" customFormat="1" ht="13.5" customHeight="1">
      <c r="A14" s="461"/>
      <c r="B14" s="15" t="s">
        <v>27</v>
      </c>
      <c r="C14" s="3">
        <v>682244</v>
      </c>
      <c r="D14" s="4"/>
      <c r="E14" s="178"/>
      <c r="F14" s="5">
        <v>18554</v>
      </c>
      <c r="G14" s="6"/>
      <c r="H14" s="7">
        <v>48594</v>
      </c>
      <c r="I14" s="8"/>
      <c r="J14" s="3">
        <v>8</v>
      </c>
      <c r="K14" s="4"/>
      <c r="L14" s="3"/>
      <c r="M14" s="4"/>
      <c r="N14" s="98"/>
      <c r="O14" s="9"/>
      <c r="P14" s="98"/>
      <c r="Q14" s="9"/>
      <c r="R14" s="3"/>
      <c r="S14" s="9"/>
      <c r="T14" s="3">
        <v>40</v>
      </c>
      <c r="U14" s="9"/>
      <c r="V14" s="412"/>
      <c r="W14" s="507"/>
      <c r="X14" s="3"/>
      <c r="Y14" s="4"/>
      <c r="Z14" s="3"/>
      <c r="AA14" s="4"/>
      <c r="AB14" s="3">
        <v>2053</v>
      </c>
      <c r="AC14" s="4"/>
    </row>
    <row r="15" spans="1:29" s="152" customFormat="1" ht="13.5" customHeight="1">
      <c r="A15" s="461"/>
      <c r="B15" s="15" t="s">
        <v>28</v>
      </c>
      <c r="C15" s="3">
        <v>757538</v>
      </c>
      <c r="D15" s="4"/>
      <c r="E15" s="178"/>
      <c r="F15" s="5">
        <v>14389</v>
      </c>
      <c r="G15" s="6"/>
      <c r="H15" s="7">
        <v>40976</v>
      </c>
      <c r="I15" s="8"/>
      <c r="J15" s="3">
        <v>16</v>
      </c>
      <c r="K15" s="4"/>
      <c r="L15" s="3"/>
      <c r="M15" s="4"/>
      <c r="N15" s="98"/>
      <c r="O15" s="9"/>
      <c r="P15" s="98"/>
      <c r="Q15" s="9"/>
      <c r="R15" s="3"/>
      <c r="S15" s="9"/>
      <c r="T15" s="3">
        <v>11</v>
      </c>
      <c r="U15" s="9"/>
      <c r="V15" s="412"/>
      <c r="W15" s="507"/>
      <c r="X15" s="3"/>
      <c r="Y15" s="4"/>
      <c r="Z15" s="3"/>
      <c r="AA15" s="4"/>
      <c r="AB15" s="3">
        <v>1820</v>
      </c>
      <c r="AC15" s="4"/>
    </row>
    <row r="16" spans="1:29" s="152" customFormat="1" ht="13.5" customHeight="1">
      <c r="A16" s="461"/>
      <c r="B16" s="15" t="s">
        <v>29</v>
      </c>
      <c r="C16" s="3">
        <v>745887</v>
      </c>
      <c r="D16" s="4"/>
      <c r="E16" s="178"/>
      <c r="F16" s="5">
        <v>7578</v>
      </c>
      <c r="G16" s="6"/>
      <c r="H16" s="7">
        <v>39303</v>
      </c>
      <c r="I16" s="8"/>
      <c r="J16" s="3">
        <v>17</v>
      </c>
      <c r="K16" s="4"/>
      <c r="L16" s="3"/>
      <c r="M16" s="4"/>
      <c r="N16" s="98"/>
      <c r="O16" s="9"/>
      <c r="P16" s="98"/>
      <c r="Q16" s="9"/>
      <c r="R16" s="3"/>
      <c r="S16" s="9"/>
      <c r="T16" s="3">
        <v>61</v>
      </c>
      <c r="U16" s="9"/>
      <c r="V16" s="412"/>
      <c r="W16" s="507"/>
      <c r="X16" s="3"/>
      <c r="Y16" s="4"/>
      <c r="Z16" s="3"/>
      <c r="AA16" s="4"/>
      <c r="AB16" s="3">
        <v>1438</v>
      </c>
      <c r="AC16" s="4"/>
    </row>
    <row r="17" spans="1:29" s="152" customFormat="1" ht="13.5" customHeight="1">
      <c r="A17" s="462"/>
      <c r="B17" s="15" t="s">
        <v>30</v>
      </c>
      <c r="C17" s="3">
        <v>725697</v>
      </c>
      <c r="D17" s="4"/>
      <c r="E17" s="178"/>
      <c r="F17" s="5">
        <v>11754</v>
      </c>
      <c r="G17" s="6"/>
      <c r="H17" s="7">
        <v>50055</v>
      </c>
      <c r="I17" s="8"/>
      <c r="J17" s="3">
        <v>16</v>
      </c>
      <c r="K17" s="4"/>
      <c r="L17" s="3"/>
      <c r="M17" s="4"/>
      <c r="N17" s="98"/>
      <c r="O17" s="19"/>
      <c r="P17" s="98"/>
      <c r="Q17" s="19"/>
      <c r="R17" s="3"/>
      <c r="S17" s="19"/>
      <c r="T17" s="3">
        <v>73</v>
      </c>
      <c r="U17" s="19"/>
      <c r="V17" s="413"/>
      <c r="W17" s="508"/>
      <c r="X17" s="3"/>
      <c r="Y17" s="4"/>
      <c r="Z17" s="3"/>
      <c r="AA17" s="4"/>
      <c r="AB17" s="3">
        <v>1228</v>
      </c>
      <c r="AC17" s="4"/>
    </row>
    <row r="18" spans="1:29" s="152" customFormat="1" ht="13.5" customHeight="1">
      <c r="A18" s="457" t="s">
        <v>37</v>
      </c>
      <c r="B18" s="2" t="s">
        <v>35</v>
      </c>
      <c r="C18" s="23">
        <v>897406</v>
      </c>
      <c r="D18" s="24">
        <f t="shared" ref="D18:D43" si="0">(C18-C6)/C6</f>
        <v>0.13097779648585089</v>
      </c>
      <c r="E18" s="178"/>
      <c r="F18" s="23">
        <v>11815</v>
      </c>
      <c r="G18" s="24">
        <f t="shared" ref="G18:G56" si="1">(F18-F6)/F6</f>
        <v>7.3115349682107172E-2</v>
      </c>
      <c r="H18" s="27">
        <v>68439</v>
      </c>
      <c r="I18" s="28">
        <f t="shared" ref="I18:I38" si="2">(H18-H6)/H6</f>
        <v>8.0484993921788414E-2</v>
      </c>
      <c r="J18" s="23">
        <v>16</v>
      </c>
      <c r="K18" s="24">
        <f t="shared" ref="K18:K38" si="3">(J18-J6)/J6</f>
        <v>-0.5</v>
      </c>
      <c r="L18" s="23"/>
      <c r="M18" s="24"/>
      <c r="N18" s="140"/>
      <c r="O18" s="9"/>
      <c r="P18" s="140">
        <v>228</v>
      </c>
      <c r="Q18" s="9"/>
      <c r="R18" s="23"/>
      <c r="S18" s="9"/>
      <c r="T18" s="23">
        <v>60</v>
      </c>
      <c r="U18" s="9">
        <f>(T18/T6-1)</f>
        <v>0.71428571428571419</v>
      </c>
      <c r="V18" s="411">
        <v>5668</v>
      </c>
      <c r="W18" s="421">
        <f>(V18/V6-1)</f>
        <v>0.22128851540616257</v>
      </c>
      <c r="X18" s="23"/>
      <c r="Y18" s="24"/>
      <c r="Z18" s="23"/>
      <c r="AA18" s="24"/>
      <c r="AB18" s="23">
        <v>2148</v>
      </c>
      <c r="AC18" s="24">
        <f t="shared" ref="AC18:AC38" si="4">(AB18-AB6)/AB6</f>
        <v>-8.0085653104925048E-2</v>
      </c>
    </row>
    <row r="19" spans="1:29" s="152" customFormat="1" ht="13.5" customHeight="1">
      <c r="A19" s="461"/>
      <c r="B19" s="15" t="s">
        <v>36</v>
      </c>
      <c r="C19" s="3">
        <v>745998</v>
      </c>
      <c r="D19" s="9">
        <f t="shared" si="0"/>
        <v>0.1126875055000619</v>
      </c>
      <c r="E19" s="178"/>
      <c r="F19" s="5">
        <v>9035</v>
      </c>
      <c r="G19" s="36">
        <f t="shared" si="1"/>
        <v>0.17322425659005325</v>
      </c>
      <c r="H19" s="7">
        <v>47573</v>
      </c>
      <c r="I19" s="37">
        <f t="shared" si="2"/>
        <v>8.0947638320866266E-3</v>
      </c>
      <c r="J19" s="3">
        <v>14</v>
      </c>
      <c r="K19" s="9">
        <f t="shared" si="3"/>
        <v>-0.39130434782608697</v>
      </c>
      <c r="L19" s="3"/>
      <c r="M19" s="9"/>
      <c r="N19" s="98"/>
      <c r="O19" s="9"/>
      <c r="P19" s="98">
        <v>175</v>
      </c>
      <c r="Q19" s="9"/>
      <c r="R19" s="3"/>
      <c r="S19" s="9"/>
      <c r="T19" s="3">
        <v>40</v>
      </c>
      <c r="U19" s="9">
        <f t="shared" ref="U19:U82" si="5">(T19/T7-1)</f>
        <v>-0.24528301886792447</v>
      </c>
      <c r="V19" s="412"/>
      <c r="W19" s="422"/>
      <c r="X19" s="3"/>
      <c r="Y19" s="9"/>
      <c r="Z19" s="3"/>
      <c r="AA19" s="9"/>
      <c r="AB19" s="3">
        <v>2425</v>
      </c>
      <c r="AC19" s="9">
        <f t="shared" si="4"/>
        <v>-3.5785288270377733E-2</v>
      </c>
    </row>
    <row r="20" spans="1:29" s="152" customFormat="1" ht="13.5" customHeight="1">
      <c r="A20" s="461"/>
      <c r="B20" s="15" t="s">
        <v>21</v>
      </c>
      <c r="C20" s="3">
        <v>707058</v>
      </c>
      <c r="D20" s="9">
        <f t="shared" si="0"/>
        <v>0.20323877820869971</v>
      </c>
      <c r="E20" s="178"/>
      <c r="F20" s="5">
        <v>10396</v>
      </c>
      <c r="G20" s="36">
        <f t="shared" si="1"/>
        <v>0.16039736577743052</v>
      </c>
      <c r="H20" s="7">
        <v>45616</v>
      </c>
      <c r="I20" s="37">
        <f t="shared" si="2"/>
        <v>4.4705020153902528E-2</v>
      </c>
      <c r="J20" s="3">
        <v>14</v>
      </c>
      <c r="K20" s="9">
        <f t="shared" si="3"/>
        <v>0</v>
      </c>
      <c r="L20" s="3"/>
      <c r="M20" s="9"/>
      <c r="N20" s="98"/>
      <c r="O20" s="9"/>
      <c r="P20" s="98">
        <v>302</v>
      </c>
      <c r="Q20" s="9"/>
      <c r="R20" s="3"/>
      <c r="S20" s="9"/>
      <c r="T20" s="3">
        <v>97</v>
      </c>
      <c r="U20" s="9">
        <f t="shared" si="5"/>
        <v>0.90196078431372539</v>
      </c>
      <c r="V20" s="412"/>
      <c r="W20" s="422"/>
      <c r="X20" s="3"/>
      <c r="Y20" s="9"/>
      <c r="Z20" s="3"/>
      <c r="AA20" s="9"/>
      <c r="AB20" s="3">
        <v>1805</v>
      </c>
      <c r="AC20" s="9">
        <f t="shared" si="4"/>
        <v>5.5432372505543237E-4</v>
      </c>
    </row>
    <row r="21" spans="1:29" s="152" customFormat="1" ht="13.5" customHeight="1">
      <c r="A21" s="461"/>
      <c r="B21" s="15" t="s">
        <v>22</v>
      </c>
      <c r="C21" s="3">
        <v>762096</v>
      </c>
      <c r="D21" s="9">
        <f t="shared" si="0"/>
        <v>0.18630226972368244</v>
      </c>
      <c r="E21" s="178"/>
      <c r="F21" s="5">
        <v>11674</v>
      </c>
      <c r="G21" s="36">
        <f t="shared" si="1"/>
        <v>0.10163253751061621</v>
      </c>
      <c r="H21" s="7">
        <v>48850</v>
      </c>
      <c r="I21" s="37">
        <f t="shared" si="2"/>
        <v>0.19639489603487545</v>
      </c>
      <c r="J21" s="3">
        <v>10</v>
      </c>
      <c r="K21" s="9">
        <f t="shared" si="3"/>
        <v>0</v>
      </c>
      <c r="L21" s="3"/>
      <c r="M21" s="9"/>
      <c r="N21" s="98"/>
      <c r="O21" s="9"/>
      <c r="P21" s="98">
        <v>167</v>
      </c>
      <c r="Q21" s="9"/>
      <c r="R21" s="3"/>
      <c r="S21" s="9"/>
      <c r="T21" s="3">
        <v>60</v>
      </c>
      <c r="U21" s="9">
        <f t="shared" si="5"/>
        <v>-0.61783439490445857</v>
      </c>
      <c r="V21" s="412"/>
      <c r="W21" s="422"/>
      <c r="X21" s="3"/>
      <c r="Y21" s="9"/>
      <c r="Z21" s="3"/>
      <c r="AA21" s="9"/>
      <c r="AB21" s="3">
        <v>1578</v>
      </c>
      <c r="AC21" s="9">
        <f t="shared" si="4"/>
        <v>0.14430746918056564</v>
      </c>
    </row>
    <row r="22" spans="1:29" s="152" customFormat="1" ht="13.5" customHeight="1">
      <c r="A22" s="461"/>
      <c r="B22" s="15" t="s">
        <v>23</v>
      </c>
      <c r="C22" s="3">
        <v>802497</v>
      </c>
      <c r="D22" s="9">
        <f t="shared" si="0"/>
        <v>0.17982166616435236</v>
      </c>
      <c r="E22" s="178"/>
      <c r="F22" s="5">
        <v>14209</v>
      </c>
      <c r="G22" s="36">
        <f t="shared" si="1"/>
        <v>0.1112936023776005</v>
      </c>
      <c r="H22" s="7">
        <v>60066</v>
      </c>
      <c r="I22" s="37">
        <f t="shared" si="2"/>
        <v>0.14193916349809885</v>
      </c>
      <c r="J22" s="3">
        <v>26</v>
      </c>
      <c r="K22" s="9">
        <f t="shared" si="3"/>
        <v>-0.13333333333333333</v>
      </c>
      <c r="L22" s="3"/>
      <c r="M22" s="9"/>
      <c r="N22" s="98"/>
      <c r="O22" s="9"/>
      <c r="P22" s="98">
        <v>254</v>
      </c>
      <c r="Q22" s="9"/>
      <c r="R22" s="3"/>
      <c r="S22" s="9"/>
      <c r="T22" s="3">
        <v>70</v>
      </c>
      <c r="U22" s="9">
        <f t="shared" si="5"/>
        <v>0.59090909090909083</v>
      </c>
      <c r="V22" s="412"/>
      <c r="W22" s="422"/>
      <c r="X22" s="3"/>
      <c r="Y22" s="9"/>
      <c r="Z22" s="3"/>
      <c r="AA22" s="9"/>
      <c r="AB22" s="3">
        <v>2067</v>
      </c>
      <c r="AC22" s="9">
        <f t="shared" si="4"/>
        <v>0.23920863309352519</v>
      </c>
    </row>
    <row r="23" spans="1:29" s="152" customFormat="1" ht="13.5" customHeight="1">
      <c r="A23" s="461"/>
      <c r="B23" s="15" t="s">
        <v>24</v>
      </c>
      <c r="C23" s="3">
        <v>865693</v>
      </c>
      <c r="D23" s="9">
        <f t="shared" si="0"/>
        <v>0.21541712296071661</v>
      </c>
      <c r="E23" s="178"/>
      <c r="F23" s="5">
        <v>20782</v>
      </c>
      <c r="G23" s="36">
        <f t="shared" si="1"/>
        <v>9.4769003845546013E-2</v>
      </c>
      <c r="H23" s="7">
        <v>68844</v>
      </c>
      <c r="I23" s="37">
        <f t="shared" si="2"/>
        <v>0.10309245313251082</v>
      </c>
      <c r="J23" s="3">
        <v>22</v>
      </c>
      <c r="K23" s="9">
        <f t="shared" si="3"/>
        <v>2.1428571428571428</v>
      </c>
      <c r="L23" s="3"/>
      <c r="M23" s="9"/>
      <c r="N23" s="98"/>
      <c r="O23" s="9"/>
      <c r="P23" s="98">
        <v>256</v>
      </c>
      <c r="Q23" s="9"/>
      <c r="R23" s="3"/>
      <c r="S23" s="9"/>
      <c r="T23" s="3">
        <v>59</v>
      </c>
      <c r="U23" s="9">
        <f t="shared" si="5"/>
        <v>0.37209302325581395</v>
      </c>
      <c r="V23" s="412"/>
      <c r="W23" s="422"/>
      <c r="X23" s="3"/>
      <c r="Y23" s="9"/>
      <c r="Z23" s="3"/>
      <c r="AA23" s="9"/>
      <c r="AB23" s="3">
        <v>2190</v>
      </c>
      <c r="AC23" s="9">
        <f t="shared" si="4"/>
        <v>0.24857468643101482</v>
      </c>
    </row>
    <row r="24" spans="1:29" s="152" customFormat="1" ht="13.5" customHeight="1">
      <c r="A24" s="461"/>
      <c r="B24" s="15" t="s">
        <v>25</v>
      </c>
      <c r="C24" s="3">
        <v>1020757</v>
      </c>
      <c r="D24" s="9">
        <f t="shared" si="0"/>
        <v>0.13767088630167826</v>
      </c>
      <c r="E24" s="178"/>
      <c r="F24" s="5">
        <v>28306</v>
      </c>
      <c r="G24" s="36">
        <f t="shared" si="1"/>
        <v>0.12098530751257376</v>
      </c>
      <c r="H24" s="7">
        <v>80141</v>
      </c>
      <c r="I24" s="37">
        <f t="shared" si="2"/>
        <v>0.13185509497916814</v>
      </c>
      <c r="J24" s="3">
        <v>16</v>
      </c>
      <c r="K24" s="9">
        <f t="shared" si="3"/>
        <v>-0.2</v>
      </c>
      <c r="L24" s="3"/>
      <c r="M24" s="9"/>
      <c r="N24" s="98"/>
      <c r="O24" s="9"/>
      <c r="P24" s="98">
        <v>352</v>
      </c>
      <c r="Q24" s="9"/>
      <c r="R24" s="3"/>
      <c r="S24" s="9"/>
      <c r="T24" s="3">
        <v>130</v>
      </c>
      <c r="U24" s="9">
        <f t="shared" si="5"/>
        <v>1.5</v>
      </c>
      <c r="V24" s="412"/>
      <c r="W24" s="422"/>
      <c r="X24" s="3"/>
      <c r="Y24" s="9"/>
      <c r="Z24" s="3"/>
      <c r="AA24" s="9"/>
      <c r="AB24" s="3">
        <v>2139</v>
      </c>
      <c r="AC24" s="9">
        <f t="shared" si="4"/>
        <v>0.37733419188667094</v>
      </c>
    </row>
    <row r="25" spans="1:29" s="152" customFormat="1" ht="13.5" customHeight="1">
      <c r="A25" s="461"/>
      <c r="B25" s="15" t="s">
        <v>26</v>
      </c>
      <c r="C25" s="3">
        <v>1070289</v>
      </c>
      <c r="D25" s="9">
        <f t="shared" si="0"/>
        <v>0.15013975260404075</v>
      </c>
      <c r="E25" s="178"/>
      <c r="F25" s="5">
        <v>23603</v>
      </c>
      <c r="G25" s="36">
        <f t="shared" si="1"/>
        <v>5.8003496346765882E-2</v>
      </c>
      <c r="H25" s="7">
        <v>80891</v>
      </c>
      <c r="I25" s="37">
        <f t="shared" si="2"/>
        <v>0.21049008604564159</v>
      </c>
      <c r="J25" s="3">
        <v>20</v>
      </c>
      <c r="K25" s="9">
        <f t="shared" si="3"/>
        <v>0</v>
      </c>
      <c r="L25" s="3"/>
      <c r="M25" s="9"/>
      <c r="N25" s="98"/>
      <c r="O25" s="9"/>
      <c r="P25" s="98">
        <v>267</v>
      </c>
      <c r="Q25" s="9"/>
      <c r="R25" s="3"/>
      <c r="S25" s="9"/>
      <c r="T25" s="3">
        <v>80</v>
      </c>
      <c r="U25" s="9">
        <f t="shared" si="5"/>
        <v>-0.32773109243697474</v>
      </c>
      <c r="V25" s="412"/>
      <c r="W25" s="422"/>
      <c r="X25" s="3"/>
      <c r="Y25" s="9"/>
      <c r="Z25" s="3"/>
      <c r="AA25" s="9"/>
      <c r="AB25" s="3">
        <v>2421</v>
      </c>
      <c r="AC25" s="9">
        <f t="shared" si="4"/>
        <v>0.34053156146179403</v>
      </c>
    </row>
    <row r="26" spans="1:29" s="152" customFormat="1" ht="13.5" customHeight="1">
      <c r="A26" s="461"/>
      <c r="B26" s="15" t="s">
        <v>27</v>
      </c>
      <c r="C26" s="3">
        <v>785549</v>
      </c>
      <c r="D26" s="9">
        <f t="shared" si="0"/>
        <v>0.15141943351645451</v>
      </c>
      <c r="E26" s="178"/>
      <c r="F26" s="5">
        <v>17323</v>
      </c>
      <c r="G26" s="36">
        <f t="shared" si="1"/>
        <v>-6.634687937910963E-2</v>
      </c>
      <c r="H26" s="7">
        <v>53737</v>
      </c>
      <c r="I26" s="37">
        <f t="shared" si="2"/>
        <v>0.10583611145408899</v>
      </c>
      <c r="J26" s="3">
        <v>12</v>
      </c>
      <c r="K26" s="9">
        <f t="shared" si="3"/>
        <v>0.5</v>
      </c>
      <c r="L26" s="3"/>
      <c r="M26" s="9"/>
      <c r="N26" s="98"/>
      <c r="O26" s="9"/>
      <c r="P26" s="98">
        <v>587</v>
      </c>
      <c r="Q26" s="9"/>
      <c r="R26" s="3"/>
      <c r="S26" s="9"/>
      <c r="T26" s="3">
        <v>90</v>
      </c>
      <c r="U26" s="9">
        <f t="shared" si="5"/>
        <v>1.25</v>
      </c>
      <c r="V26" s="412"/>
      <c r="W26" s="422"/>
      <c r="X26" s="3"/>
      <c r="Y26" s="9"/>
      <c r="Z26" s="3"/>
      <c r="AA26" s="9"/>
      <c r="AB26" s="3">
        <v>2422</v>
      </c>
      <c r="AC26" s="9">
        <f t="shared" si="4"/>
        <v>0.17973697028738431</v>
      </c>
    </row>
    <row r="27" spans="1:29" s="152" customFormat="1" ht="13.5" customHeight="1">
      <c r="A27" s="461"/>
      <c r="B27" s="15" t="s">
        <v>28</v>
      </c>
      <c r="C27" s="3">
        <v>848088</v>
      </c>
      <c r="D27" s="9">
        <f t="shared" si="0"/>
        <v>0.11953195747276044</v>
      </c>
      <c r="E27" s="178"/>
      <c r="F27" s="5">
        <v>12701</v>
      </c>
      <c r="G27" s="36">
        <f t="shared" si="1"/>
        <v>-0.11731183542984223</v>
      </c>
      <c r="H27" s="7">
        <v>50346</v>
      </c>
      <c r="I27" s="37">
        <f t="shared" si="2"/>
        <v>0.22867044123389302</v>
      </c>
      <c r="J27" s="3">
        <v>7</v>
      </c>
      <c r="K27" s="9">
        <f t="shared" si="3"/>
        <v>-0.5625</v>
      </c>
      <c r="L27" s="3"/>
      <c r="M27" s="9"/>
      <c r="N27" s="98"/>
      <c r="O27" s="9"/>
      <c r="P27" s="98">
        <v>158</v>
      </c>
      <c r="Q27" s="9"/>
      <c r="R27" s="3"/>
      <c r="S27" s="9"/>
      <c r="T27" s="3">
        <v>121</v>
      </c>
      <c r="U27" s="9">
        <f t="shared" si="5"/>
        <v>10</v>
      </c>
      <c r="V27" s="412"/>
      <c r="W27" s="422"/>
      <c r="X27" s="3"/>
      <c r="Y27" s="9"/>
      <c r="Z27" s="3"/>
      <c r="AA27" s="9"/>
      <c r="AB27" s="3">
        <v>1910</v>
      </c>
      <c r="AC27" s="9">
        <f t="shared" si="4"/>
        <v>4.9450549450549448E-2</v>
      </c>
    </row>
    <row r="28" spans="1:29" s="152" customFormat="1" ht="13.5" customHeight="1">
      <c r="A28" s="461"/>
      <c r="B28" s="15" t="s">
        <v>29</v>
      </c>
      <c r="C28" s="3">
        <v>784031</v>
      </c>
      <c r="D28" s="9">
        <f t="shared" si="0"/>
        <v>5.1139113565459644E-2</v>
      </c>
      <c r="E28" s="178"/>
      <c r="F28" s="5">
        <v>8023</v>
      </c>
      <c r="G28" s="36">
        <f t="shared" si="1"/>
        <v>5.8722618105040911E-2</v>
      </c>
      <c r="H28" s="7">
        <v>43692</v>
      </c>
      <c r="I28" s="37">
        <f t="shared" si="2"/>
        <v>0.11167086481947942</v>
      </c>
      <c r="J28" s="3">
        <v>14</v>
      </c>
      <c r="K28" s="9">
        <f t="shared" si="3"/>
        <v>-0.17647058823529413</v>
      </c>
      <c r="L28" s="3"/>
      <c r="M28" s="9"/>
      <c r="N28" s="98"/>
      <c r="O28" s="9"/>
      <c r="P28" s="98">
        <v>207</v>
      </c>
      <c r="Q28" s="9"/>
      <c r="R28" s="3"/>
      <c r="S28" s="9"/>
      <c r="T28" s="3">
        <v>90</v>
      </c>
      <c r="U28" s="9">
        <f t="shared" si="5"/>
        <v>0.47540983606557385</v>
      </c>
      <c r="V28" s="412"/>
      <c r="W28" s="422"/>
      <c r="X28" s="3"/>
      <c r="Y28" s="9"/>
      <c r="Z28" s="3"/>
      <c r="AA28" s="9"/>
      <c r="AB28" s="3">
        <v>1897</v>
      </c>
      <c r="AC28" s="9">
        <f t="shared" si="4"/>
        <v>0.3191933240611961</v>
      </c>
    </row>
    <row r="29" spans="1:29" s="152" customFormat="1" ht="13.5" customHeight="1">
      <c r="A29" s="462"/>
      <c r="B29" s="41" t="s">
        <v>30</v>
      </c>
      <c r="C29" s="18">
        <v>790681</v>
      </c>
      <c r="D29" s="19">
        <f t="shared" si="0"/>
        <v>8.9547014800943098E-2</v>
      </c>
      <c r="E29" s="178"/>
      <c r="F29" s="5">
        <v>12094</v>
      </c>
      <c r="G29" s="36">
        <f t="shared" si="1"/>
        <v>2.8926322953888039E-2</v>
      </c>
      <c r="H29" s="7">
        <v>56898</v>
      </c>
      <c r="I29" s="37">
        <f t="shared" si="2"/>
        <v>0.13670961941863949</v>
      </c>
      <c r="J29" s="3">
        <v>11</v>
      </c>
      <c r="K29" s="9">
        <f t="shared" si="3"/>
        <v>-0.3125</v>
      </c>
      <c r="L29" s="3"/>
      <c r="M29" s="9"/>
      <c r="N29" s="98"/>
      <c r="O29" s="19"/>
      <c r="P29" s="98">
        <v>285</v>
      </c>
      <c r="Q29" s="19"/>
      <c r="R29" s="3"/>
      <c r="S29" s="19"/>
      <c r="T29" s="3">
        <v>71</v>
      </c>
      <c r="U29" s="19">
        <f t="shared" si="5"/>
        <v>-2.7397260273972601E-2</v>
      </c>
      <c r="V29" s="413"/>
      <c r="W29" s="423"/>
      <c r="X29" s="3"/>
      <c r="Y29" s="9"/>
      <c r="Z29" s="3"/>
      <c r="AA29" s="9"/>
      <c r="AB29" s="3">
        <v>1313</v>
      </c>
      <c r="AC29" s="9">
        <f t="shared" si="4"/>
        <v>6.921824104234528E-2</v>
      </c>
    </row>
    <row r="30" spans="1:29" s="152" customFormat="1" ht="13.5" customHeight="1">
      <c r="A30" s="457" t="s">
        <v>38</v>
      </c>
      <c r="B30" s="15" t="s">
        <v>35</v>
      </c>
      <c r="C30" s="3">
        <v>985287</v>
      </c>
      <c r="D30" s="9">
        <f t="shared" si="0"/>
        <v>9.7927805252026393E-2</v>
      </c>
      <c r="E30" s="178"/>
      <c r="F30" s="25">
        <v>12258</v>
      </c>
      <c r="G30" s="26">
        <f t="shared" si="1"/>
        <v>3.7494710114261531E-2</v>
      </c>
      <c r="H30" s="27">
        <v>75034</v>
      </c>
      <c r="I30" s="28">
        <f t="shared" si="2"/>
        <v>9.6363184733850582E-2</v>
      </c>
      <c r="J30" s="23">
        <v>35</v>
      </c>
      <c r="K30" s="24">
        <f t="shared" si="3"/>
        <v>1.1875</v>
      </c>
      <c r="L30" s="23"/>
      <c r="M30" s="24"/>
      <c r="N30" s="140"/>
      <c r="O30" s="9"/>
      <c r="P30" s="140">
        <v>244</v>
      </c>
      <c r="Q30" s="9">
        <f t="shared" ref="Q30:Q65" si="6">(P30/P18-1)</f>
        <v>7.0175438596491224E-2</v>
      </c>
      <c r="R30" s="23"/>
      <c r="S30" s="9"/>
      <c r="T30" s="23">
        <v>120</v>
      </c>
      <c r="U30" s="9">
        <f t="shared" si="5"/>
        <v>1</v>
      </c>
      <c r="V30" s="411">
        <v>6587</v>
      </c>
      <c r="W30" s="421">
        <f>(V30/V18-1)</f>
        <v>0.16213832039520115</v>
      </c>
      <c r="X30" s="23"/>
      <c r="Y30" s="24"/>
      <c r="Z30" s="23"/>
      <c r="AA30" s="24"/>
      <c r="AB30" s="23">
        <v>3643</v>
      </c>
      <c r="AC30" s="24">
        <f t="shared" si="4"/>
        <v>0.69599627560521415</v>
      </c>
    </row>
    <row r="31" spans="1:29" s="152" customFormat="1" ht="13.5" customHeight="1">
      <c r="A31" s="461"/>
      <c r="B31" s="15" t="s">
        <v>36</v>
      </c>
      <c r="C31" s="3">
        <v>944596</v>
      </c>
      <c r="D31" s="9">
        <f t="shared" si="0"/>
        <v>0.2662178718977799</v>
      </c>
      <c r="E31" s="178"/>
      <c r="F31" s="5">
        <v>9822</v>
      </c>
      <c r="G31" s="36">
        <f t="shared" si="1"/>
        <v>8.7105700055340338E-2</v>
      </c>
      <c r="H31" s="7">
        <v>48303</v>
      </c>
      <c r="I31" s="37">
        <f t="shared" si="2"/>
        <v>1.534483845878965E-2</v>
      </c>
      <c r="J31" s="3">
        <v>32</v>
      </c>
      <c r="K31" s="9">
        <f t="shared" si="3"/>
        <v>1.2857142857142858</v>
      </c>
      <c r="L31" s="3"/>
      <c r="M31" s="9"/>
      <c r="N31" s="98"/>
      <c r="O31" s="9"/>
      <c r="P31" s="98">
        <v>237</v>
      </c>
      <c r="Q31" s="9">
        <f t="shared" si="6"/>
        <v>0.35428571428571431</v>
      </c>
      <c r="R31" s="3"/>
      <c r="S31" s="9"/>
      <c r="T31" s="3">
        <v>101</v>
      </c>
      <c r="U31" s="9">
        <f t="shared" si="5"/>
        <v>1.5249999999999999</v>
      </c>
      <c r="V31" s="412"/>
      <c r="W31" s="422"/>
      <c r="X31" s="3"/>
      <c r="Y31" s="9"/>
      <c r="Z31" s="3"/>
      <c r="AA31" s="9"/>
      <c r="AB31" s="3">
        <v>2523</v>
      </c>
      <c r="AC31" s="9">
        <f t="shared" si="4"/>
        <v>4.0412371134020617E-2</v>
      </c>
    </row>
    <row r="32" spans="1:29" s="152" customFormat="1" ht="13.5" customHeight="1">
      <c r="A32" s="461"/>
      <c r="B32" s="15" t="s">
        <v>21</v>
      </c>
      <c r="C32" s="3">
        <v>823918</v>
      </c>
      <c r="D32" s="9">
        <f t="shared" si="0"/>
        <v>0.16527639882442458</v>
      </c>
      <c r="E32" s="178"/>
      <c r="F32" s="5">
        <v>10740</v>
      </c>
      <c r="G32" s="36">
        <f t="shared" si="1"/>
        <v>3.3089649865332818E-2</v>
      </c>
      <c r="H32" s="7">
        <v>50135</v>
      </c>
      <c r="I32" s="37">
        <f t="shared" si="2"/>
        <v>9.9066117151876534E-2</v>
      </c>
      <c r="J32" s="3">
        <v>14</v>
      </c>
      <c r="K32" s="9">
        <f t="shared" si="3"/>
        <v>0</v>
      </c>
      <c r="L32" s="3"/>
      <c r="M32" s="9"/>
      <c r="N32" s="98"/>
      <c r="O32" s="9"/>
      <c r="P32" s="98">
        <v>208</v>
      </c>
      <c r="Q32" s="9">
        <f t="shared" si="6"/>
        <v>-0.3112582781456954</v>
      </c>
      <c r="R32" s="3"/>
      <c r="S32" s="9"/>
      <c r="T32" s="3">
        <v>101</v>
      </c>
      <c r="U32" s="9">
        <f t="shared" si="5"/>
        <v>4.1237113402061931E-2</v>
      </c>
      <c r="V32" s="412"/>
      <c r="W32" s="422"/>
      <c r="X32" s="3"/>
      <c r="Y32" s="9"/>
      <c r="Z32" s="3"/>
      <c r="AA32" s="9"/>
      <c r="AB32" s="3">
        <v>2745</v>
      </c>
      <c r="AC32" s="9">
        <f t="shared" si="4"/>
        <v>0.52077562326869808</v>
      </c>
    </row>
    <row r="33" spans="1:29" s="152" customFormat="1" ht="13.5" customHeight="1">
      <c r="A33" s="461"/>
      <c r="B33" s="15" t="s">
        <v>22</v>
      </c>
      <c r="C33" s="3">
        <v>855083</v>
      </c>
      <c r="D33" s="9">
        <f t="shared" si="0"/>
        <v>0.12201481178224266</v>
      </c>
      <c r="E33" s="178"/>
      <c r="F33" s="5">
        <v>11514</v>
      </c>
      <c r="G33" s="36">
        <f t="shared" si="1"/>
        <v>-1.3705670721260922E-2</v>
      </c>
      <c r="H33" s="7">
        <v>53992</v>
      </c>
      <c r="I33" s="37">
        <f t="shared" si="2"/>
        <v>0.10526100307062436</v>
      </c>
      <c r="J33" s="3">
        <v>16</v>
      </c>
      <c r="K33" s="9">
        <f t="shared" si="3"/>
        <v>0.6</v>
      </c>
      <c r="L33" s="3"/>
      <c r="M33" s="9"/>
      <c r="N33" s="98"/>
      <c r="O33" s="9"/>
      <c r="P33" s="98">
        <v>256</v>
      </c>
      <c r="Q33" s="9">
        <f t="shared" si="6"/>
        <v>0.53293413173652704</v>
      </c>
      <c r="R33" s="3"/>
      <c r="S33" s="9"/>
      <c r="T33" s="3">
        <v>100</v>
      </c>
      <c r="U33" s="9">
        <f t="shared" si="5"/>
        <v>0.66666666666666674</v>
      </c>
      <c r="V33" s="412"/>
      <c r="W33" s="422"/>
      <c r="X33" s="3"/>
      <c r="Y33" s="9"/>
      <c r="Z33" s="3"/>
      <c r="AA33" s="9"/>
      <c r="AB33" s="3">
        <v>3179</v>
      </c>
      <c r="AC33" s="9">
        <f t="shared" si="4"/>
        <v>1.0145754119138151</v>
      </c>
    </row>
    <row r="34" spans="1:29" s="152" customFormat="1" ht="13.5" customHeight="1">
      <c r="A34" s="461"/>
      <c r="B34" s="15" t="s">
        <v>23</v>
      </c>
      <c r="C34" s="3">
        <v>906482</v>
      </c>
      <c r="D34" s="9">
        <f t="shared" si="0"/>
        <v>0.12957680838682262</v>
      </c>
      <c r="E34" s="178"/>
      <c r="F34" s="5">
        <v>15660</v>
      </c>
      <c r="G34" s="36">
        <f t="shared" si="1"/>
        <v>0.10211837567738757</v>
      </c>
      <c r="H34" s="7">
        <v>61946</v>
      </c>
      <c r="I34" s="37">
        <f t="shared" si="2"/>
        <v>3.1298904538341159E-2</v>
      </c>
      <c r="J34" s="3">
        <v>11</v>
      </c>
      <c r="K34" s="9">
        <f t="shared" si="3"/>
        <v>-0.57692307692307687</v>
      </c>
      <c r="L34" s="3"/>
      <c r="M34" s="9"/>
      <c r="N34" s="98"/>
      <c r="O34" s="9"/>
      <c r="P34" s="98">
        <v>138</v>
      </c>
      <c r="Q34" s="9">
        <f t="shared" si="6"/>
        <v>-0.45669291338582674</v>
      </c>
      <c r="R34" s="3"/>
      <c r="S34" s="9"/>
      <c r="T34" s="3">
        <v>80</v>
      </c>
      <c r="U34" s="9">
        <f t="shared" si="5"/>
        <v>0.14285714285714279</v>
      </c>
      <c r="V34" s="412"/>
      <c r="W34" s="422"/>
      <c r="X34" s="3"/>
      <c r="Y34" s="9"/>
      <c r="Z34" s="3"/>
      <c r="AA34" s="9"/>
      <c r="AB34" s="3">
        <v>2596</v>
      </c>
      <c r="AC34" s="9">
        <f t="shared" si="4"/>
        <v>0.25592646347363329</v>
      </c>
    </row>
    <row r="35" spans="1:29" s="152" customFormat="1" ht="13.5" customHeight="1">
      <c r="A35" s="461"/>
      <c r="B35" s="15" t="s">
        <v>24</v>
      </c>
      <c r="C35" s="3">
        <v>915942</v>
      </c>
      <c r="D35" s="9">
        <f t="shared" si="0"/>
        <v>5.8044826514711337E-2</v>
      </c>
      <c r="E35" s="178"/>
      <c r="F35" s="5">
        <v>22132</v>
      </c>
      <c r="G35" s="36">
        <f t="shared" si="1"/>
        <v>6.4960061591762097E-2</v>
      </c>
      <c r="H35" s="7">
        <v>67493</v>
      </c>
      <c r="I35" s="37">
        <f t="shared" si="2"/>
        <v>-1.9624077624774854E-2</v>
      </c>
      <c r="J35" s="3">
        <v>14</v>
      </c>
      <c r="K35" s="9">
        <f t="shared" si="3"/>
        <v>-0.36363636363636365</v>
      </c>
      <c r="L35" s="3"/>
      <c r="M35" s="9"/>
      <c r="N35" s="98"/>
      <c r="O35" s="9"/>
      <c r="P35" s="98">
        <v>205</v>
      </c>
      <c r="Q35" s="9">
        <f t="shared" si="6"/>
        <v>-0.19921875</v>
      </c>
      <c r="R35" s="3"/>
      <c r="S35" s="9"/>
      <c r="T35" s="3">
        <v>200</v>
      </c>
      <c r="U35" s="9">
        <f t="shared" si="5"/>
        <v>2.3898305084745761</v>
      </c>
      <c r="V35" s="412"/>
      <c r="W35" s="422"/>
      <c r="X35" s="3"/>
      <c r="Y35" s="9"/>
      <c r="Z35" s="3"/>
      <c r="AA35" s="9"/>
      <c r="AB35" s="3">
        <v>2289</v>
      </c>
      <c r="AC35" s="9">
        <f t="shared" si="4"/>
        <v>4.5205479452054796E-2</v>
      </c>
    </row>
    <row r="36" spans="1:29" s="152" customFormat="1" ht="13.5" customHeight="1">
      <c r="A36" s="461"/>
      <c r="B36" s="15" t="s">
        <v>25</v>
      </c>
      <c r="C36" s="3">
        <v>1098740</v>
      </c>
      <c r="D36" s="9">
        <f t="shared" si="0"/>
        <v>7.6397222845398072E-2</v>
      </c>
      <c r="E36" s="178"/>
      <c r="F36" s="5">
        <v>29601</v>
      </c>
      <c r="G36" s="36">
        <f t="shared" si="1"/>
        <v>4.5750017664099488E-2</v>
      </c>
      <c r="H36" s="7">
        <v>82749</v>
      </c>
      <c r="I36" s="37">
        <f t="shared" si="2"/>
        <v>3.2542643590671438E-2</v>
      </c>
      <c r="J36" s="3">
        <v>5</v>
      </c>
      <c r="K36" s="9">
        <f t="shared" si="3"/>
        <v>-0.6875</v>
      </c>
      <c r="L36" s="3"/>
      <c r="M36" s="9"/>
      <c r="N36" s="98"/>
      <c r="O36" s="9"/>
      <c r="P36" s="98">
        <v>255</v>
      </c>
      <c r="Q36" s="9">
        <f t="shared" si="6"/>
        <v>-0.27556818181818177</v>
      </c>
      <c r="R36" s="3"/>
      <c r="S36" s="9"/>
      <c r="T36" s="3">
        <v>211</v>
      </c>
      <c r="U36" s="9">
        <f t="shared" si="5"/>
        <v>0.62307692307692308</v>
      </c>
      <c r="V36" s="412"/>
      <c r="W36" s="422"/>
      <c r="X36" s="3"/>
      <c r="Y36" s="9"/>
      <c r="Z36" s="3"/>
      <c r="AA36" s="9"/>
      <c r="AB36" s="3">
        <v>3115</v>
      </c>
      <c r="AC36" s="9">
        <f t="shared" si="4"/>
        <v>0.45628798503973822</v>
      </c>
    </row>
    <row r="37" spans="1:29" s="152" customFormat="1" ht="13.5" customHeight="1">
      <c r="A37" s="461"/>
      <c r="B37" s="15" t="s">
        <v>26</v>
      </c>
      <c r="C37" s="3">
        <v>1159874</v>
      </c>
      <c r="D37" s="9">
        <f t="shared" si="0"/>
        <v>8.3701691786050303E-2</v>
      </c>
      <c r="E37" s="178"/>
      <c r="F37" s="5">
        <v>23547</v>
      </c>
      <c r="G37" s="36">
        <f t="shared" si="1"/>
        <v>-2.3725797568105748E-3</v>
      </c>
      <c r="H37" s="7">
        <v>84370</v>
      </c>
      <c r="I37" s="37">
        <f t="shared" si="2"/>
        <v>4.3008492910212505E-2</v>
      </c>
      <c r="J37" s="3">
        <v>12</v>
      </c>
      <c r="K37" s="9">
        <f t="shared" si="3"/>
        <v>-0.4</v>
      </c>
      <c r="L37" s="3"/>
      <c r="M37" s="9"/>
      <c r="N37" s="98"/>
      <c r="O37" s="9"/>
      <c r="P37" s="98">
        <v>249</v>
      </c>
      <c r="Q37" s="9">
        <f t="shared" si="6"/>
        <v>-6.7415730337078705E-2</v>
      </c>
      <c r="R37" s="3"/>
      <c r="S37" s="9"/>
      <c r="T37" s="3">
        <v>70</v>
      </c>
      <c r="U37" s="9">
        <f t="shared" si="5"/>
        <v>-0.125</v>
      </c>
      <c r="V37" s="412"/>
      <c r="W37" s="422"/>
      <c r="X37" s="3"/>
      <c r="Y37" s="9"/>
      <c r="Z37" s="3"/>
      <c r="AA37" s="9"/>
      <c r="AB37" s="3">
        <v>1816</v>
      </c>
      <c r="AC37" s="9">
        <f t="shared" si="4"/>
        <v>-0.24989673688558448</v>
      </c>
    </row>
    <row r="38" spans="1:29" s="152" customFormat="1" ht="13.5" customHeight="1">
      <c r="A38" s="461"/>
      <c r="B38" s="15" t="s">
        <v>27</v>
      </c>
      <c r="C38" s="3">
        <v>931946</v>
      </c>
      <c r="D38" s="9">
        <f t="shared" si="0"/>
        <v>0.18636265847197311</v>
      </c>
      <c r="E38" s="178"/>
      <c r="F38" s="5">
        <v>19938</v>
      </c>
      <c r="G38" s="36">
        <f t="shared" si="1"/>
        <v>0.1509553772441263</v>
      </c>
      <c r="H38" s="7">
        <v>66193</v>
      </c>
      <c r="I38" s="37">
        <f t="shared" si="2"/>
        <v>0.23179559707464131</v>
      </c>
      <c r="J38" s="3">
        <v>4</v>
      </c>
      <c r="K38" s="9">
        <f t="shared" si="3"/>
        <v>-0.66666666666666663</v>
      </c>
      <c r="L38" s="3"/>
      <c r="M38" s="9"/>
      <c r="N38" s="98"/>
      <c r="O38" s="9"/>
      <c r="P38" s="98">
        <v>232</v>
      </c>
      <c r="Q38" s="9">
        <f t="shared" si="6"/>
        <v>-0.60477001703577515</v>
      </c>
      <c r="R38" s="3"/>
      <c r="S38" s="9"/>
      <c r="T38" s="3">
        <v>91</v>
      </c>
      <c r="U38" s="9">
        <f t="shared" si="5"/>
        <v>1.1111111111111072E-2</v>
      </c>
      <c r="V38" s="412"/>
      <c r="W38" s="422"/>
      <c r="X38" s="3"/>
      <c r="Y38" s="9"/>
      <c r="Z38" s="3"/>
      <c r="AA38" s="9"/>
      <c r="AB38" s="3">
        <v>2174</v>
      </c>
      <c r="AC38" s="9">
        <f t="shared" si="4"/>
        <v>-0.10239471511147812</v>
      </c>
    </row>
    <row r="39" spans="1:29" s="152" customFormat="1" ht="13.5" customHeight="1">
      <c r="A39" s="461"/>
      <c r="B39" s="15" t="s">
        <v>28</v>
      </c>
      <c r="C39" s="3">
        <v>984649</v>
      </c>
      <c r="D39" s="9">
        <f t="shared" si="0"/>
        <v>0.16102220524285216</v>
      </c>
      <c r="E39" s="178"/>
      <c r="F39" s="5">
        <v>14404</v>
      </c>
      <c r="G39" s="36">
        <f t="shared" si="1"/>
        <v>0.13408393039918118</v>
      </c>
      <c r="H39" s="7">
        <v>54800</v>
      </c>
      <c r="I39" s="37">
        <v>8.7999999999999995E-2</v>
      </c>
      <c r="J39" s="3">
        <v>11</v>
      </c>
      <c r="K39" s="9">
        <v>8.7999999999999995E-2</v>
      </c>
      <c r="L39" s="3"/>
      <c r="M39" s="9"/>
      <c r="N39" s="98"/>
      <c r="O39" s="9"/>
      <c r="P39" s="98">
        <v>184</v>
      </c>
      <c r="Q39" s="9">
        <f t="shared" si="6"/>
        <v>0.16455696202531644</v>
      </c>
      <c r="R39" s="3"/>
      <c r="S39" s="9"/>
      <c r="T39" s="3">
        <v>80</v>
      </c>
      <c r="U39" s="9">
        <f t="shared" si="5"/>
        <v>-0.33884297520661155</v>
      </c>
      <c r="V39" s="412"/>
      <c r="W39" s="422"/>
      <c r="X39" s="3"/>
      <c r="Y39" s="9"/>
      <c r="Z39" s="3"/>
      <c r="AA39" s="9"/>
      <c r="AB39" s="3">
        <v>1444</v>
      </c>
      <c r="AC39" s="9">
        <v>8.7999999999999995E-2</v>
      </c>
    </row>
    <row r="40" spans="1:29" s="152" customFormat="1" ht="13.5" customHeight="1">
      <c r="A40" s="461"/>
      <c r="B40" s="15" t="s">
        <v>29</v>
      </c>
      <c r="C40" s="3">
        <v>987488</v>
      </c>
      <c r="D40" s="9">
        <f t="shared" si="0"/>
        <v>0.25950121870181153</v>
      </c>
      <c r="E40" s="178"/>
      <c r="F40" s="5">
        <v>9899</v>
      </c>
      <c r="G40" s="36">
        <f t="shared" si="1"/>
        <v>0.2338277452324567</v>
      </c>
      <c r="H40" s="7">
        <v>49891</v>
      </c>
      <c r="I40" s="37">
        <v>0.14199999999999999</v>
      </c>
      <c r="J40" s="3">
        <v>15</v>
      </c>
      <c r="K40" s="9">
        <v>0.14199999999999999</v>
      </c>
      <c r="L40" s="3"/>
      <c r="M40" s="9"/>
      <c r="N40" s="98"/>
      <c r="O40" s="9"/>
      <c r="P40" s="98">
        <v>223</v>
      </c>
      <c r="Q40" s="9">
        <f t="shared" si="6"/>
        <v>7.7294685990338063E-2</v>
      </c>
      <c r="R40" s="3"/>
      <c r="S40" s="9"/>
      <c r="T40" s="3">
        <v>161</v>
      </c>
      <c r="U40" s="9">
        <f t="shared" si="5"/>
        <v>0.78888888888888897</v>
      </c>
      <c r="V40" s="412"/>
      <c r="W40" s="422"/>
      <c r="X40" s="3"/>
      <c r="Y40" s="9"/>
      <c r="Z40" s="3"/>
      <c r="AA40" s="9"/>
      <c r="AB40" s="3">
        <v>2189</v>
      </c>
      <c r="AC40" s="9">
        <v>0.14199999999999999</v>
      </c>
    </row>
    <row r="41" spans="1:29" s="152" customFormat="1" ht="13.5" customHeight="1">
      <c r="A41" s="462"/>
      <c r="B41" s="15" t="s">
        <v>30</v>
      </c>
      <c r="C41" s="52">
        <v>1015874</v>
      </c>
      <c r="D41" s="9">
        <f t="shared" si="0"/>
        <v>0.28480891788218005</v>
      </c>
      <c r="E41" s="178"/>
      <c r="F41" s="5">
        <v>14144</v>
      </c>
      <c r="G41" s="36">
        <f t="shared" si="1"/>
        <v>0.16950553993715892</v>
      </c>
      <c r="H41" s="7">
        <v>62815</v>
      </c>
      <c r="I41" s="37">
        <v>0.104</v>
      </c>
      <c r="J41" s="3">
        <v>9</v>
      </c>
      <c r="K41" s="9">
        <v>0.104</v>
      </c>
      <c r="L41" s="3"/>
      <c r="M41" s="9"/>
      <c r="N41" s="98"/>
      <c r="O41" s="19"/>
      <c r="P41" s="98">
        <v>272</v>
      </c>
      <c r="Q41" s="19">
        <f t="shared" si="6"/>
        <v>-4.5614035087719329E-2</v>
      </c>
      <c r="R41" s="3"/>
      <c r="S41" s="19"/>
      <c r="T41" s="3">
        <v>121</v>
      </c>
      <c r="U41" s="19">
        <f t="shared" si="5"/>
        <v>0.70422535211267601</v>
      </c>
      <c r="V41" s="413"/>
      <c r="W41" s="423"/>
      <c r="X41" s="3"/>
      <c r="Y41" s="9"/>
      <c r="Z41" s="3"/>
      <c r="AA41" s="9"/>
      <c r="AB41" s="3">
        <v>2646</v>
      </c>
      <c r="AC41" s="9">
        <v>0.104</v>
      </c>
    </row>
    <row r="42" spans="1:29" s="152" customFormat="1" ht="13.5" customHeight="1">
      <c r="A42" s="457" t="s">
        <v>43</v>
      </c>
      <c r="B42" s="2" t="s">
        <v>35</v>
      </c>
      <c r="C42" s="23">
        <v>1281530</v>
      </c>
      <c r="D42" s="24">
        <f t="shared" si="0"/>
        <v>0.30066670929384026</v>
      </c>
      <c r="E42" s="178"/>
      <c r="F42" s="23">
        <v>13454</v>
      </c>
      <c r="G42" s="24">
        <f t="shared" si="1"/>
        <v>9.7568934573339858E-2</v>
      </c>
      <c r="H42" s="27">
        <v>83332</v>
      </c>
      <c r="I42" s="24">
        <f t="shared" ref="I42:I53" si="7">(H42-H30)/H30</f>
        <v>0.11058986592744623</v>
      </c>
      <c r="J42" s="23">
        <v>3</v>
      </c>
      <c r="K42" s="24">
        <f t="shared" ref="K42:K53" si="8">(J42-J30)/J30</f>
        <v>-0.91428571428571426</v>
      </c>
      <c r="L42" s="23"/>
      <c r="M42" s="24"/>
      <c r="N42" s="140"/>
      <c r="O42" s="9"/>
      <c r="P42" s="140">
        <v>275</v>
      </c>
      <c r="Q42" s="9">
        <f t="shared" si="6"/>
        <v>0.12704918032786883</v>
      </c>
      <c r="R42" s="23"/>
      <c r="S42" s="9"/>
      <c r="T42" s="23">
        <v>203</v>
      </c>
      <c r="U42" s="9">
        <f t="shared" si="5"/>
        <v>0.69166666666666665</v>
      </c>
      <c r="V42" s="411">
        <v>7351</v>
      </c>
      <c r="W42" s="421">
        <f>(V42/V30-1)</f>
        <v>0.11598603309549116</v>
      </c>
      <c r="X42" s="23"/>
      <c r="Y42" s="24"/>
      <c r="Z42" s="23"/>
      <c r="AA42" s="24"/>
      <c r="AB42" s="23">
        <v>6072</v>
      </c>
      <c r="AC42" s="24">
        <f t="shared" ref="AC42:AC53" si="9">(AB42-AB30)/AB30</f>
        <v>0.66675816634641782</v>
      </c>
    </row>
    <row r="43" spans="1:29" s="152" customFormat="1" ht="13.5" customHeight="1">
      <c r="A43" s="461"/>
      <c r="B43" s="15" t="s">
        <v>44</v>
      </c>
      <c r="C43" s="3">
        <v>982591</v>
      </c>
      <c r="D43" s="9">
        <f t="shared" si="0"/>
        <v>4.0223545304024153E-2</v>
      </c>
      <c r="E43" s="178"/>
      <c r="F43" s="3">
        <v>10490</v>
      </c>
      <c r="G43" s="9">
        <f t="shared" si="1"/>
        <v>6.8010588474852376E-2</v>
      </c>
      <c r="H43" s="7">
        <v>53505</v>
      </c>
      <c r="I43" s="37">
        <f t="shared" si="7"/>
        <v>0.10769517421278181</v>
      </c>
      <c r="J43" s="3">
        <v>9</v>
      </c>
      <c r="K43" s="9">
        <f t="shared" si="8"/>
        <v>-0.71875</v>
      </c>
      <c r="L43" s="3"/>
      <c r="M43" s="9"/>
      <c r="N43" s="98"/>
      <c r="O43" s="9"/>
      <c r="P43" s="98">
        <v>236</v>
      </c>
      <c r="Q43" s="9">
        <f t="shared" si="6"/>
        <v>-4.2194092827003704E-3</v>
      </c>
      <c r="R43" s="3"/>
      <c r="S43" s="9"/>
      <c r="T43" s="3">
        <v>140</v>
      </c>
      <c r="U43" s="9">
        <f t="shared" si="5"/>
        <v>0.38613861386138604</v>
      </c>
      <c r="V43" s="412"/>
      <c r="W43" s="422"/>
      <c r="X43" s="3"/>
      <c r="Y43" s="9"/>
      <c r="Z43" s="3"/>
      <c r="AA43" s="9"/>
      <c r="AB43" s="3">
        <v>3195</v>
      </c>
      <c r="AC43" s="9">
        <f t="shared" si="9"/>
        <v>0.26634958382877527</v>
      </c>
    </row>
    <row r="44" spans="1:29" s="152" customFormat="1" ht="13.5" customHeight="1">
      <c r="A44" s="461"/>
      <c r="B44" s="15" t="s">
        <v>45</v>
      </c>
      <c r="C44" s="3">
        <v>1046055</v>
      </c>
      <c r="D44" s="9">
        <v>0.27</v>
      </c>
      <c r="E44" s="178"/>
      <c r="F44" s="3">
        <v>11596</v>
      </c>
      <c r="G44" s="9">
        <f t="shared" si="1"/>
        <v>7.9702048417132215E-2</v>
      </c>
      <c r="H44" s="7">
        <v>53183</v>
      </c>
      <c r="I44" s="37">
        <f t="shared" si="7"/>
        <v>6.0795851201755263E-2</v>
      </c>
      <c r="J44" s="3">
        <v>9</v>
      </c>
      <c r="K44" s="9">
        <f t="shared" si="8"/>
        <v>-0.35714285714285715</v>
      </c>
      <c r="L44" s="3"/>
      <c r="M44" s="9"/>
      <c r="N44" s="98"/>
      <c r="O44" s="9"/>
      <c r="P44" s="98">
        <v>200</v>
      </c>
      <c r="Q44" s="9">
        <f t="shared" si="6"/>
        <v>-3.8461538461538436E-2</v>
      </c>
      <c r="R44" s="3"/>
      <c r="S44" s="9"/>
      <c r="T44" s="3">
        <v>150</v>
      </c>
      <c r="U44" s="9">
        <f t="shared" si="5"/>
        <v>0.48514851485148514</v>
      </c>
      <c r="V44" s="412"/>
      <c r="W44" s="422"/>
      <c r="X44" s="3"/>
      <c r="Y44" s="9"/>
      <c r="Z44" s="3"/>
      <c r="AA44" s="9"/>
      <c r="AB44" s="3">
        <v>3047</v>
      </c>
      <c r="AC44" s="9">
        <f t="shared" si="9"/>
        <v>0.11001821493624772</v>
      </c>
    </row>
    <row r="45" spans="1:29" s="152" customFormat="1" ht="13.5" customHeight="1">
      <c r="A45" s="461"/>
      <c r="B45" s="15" t="s">
        <v>46</v>
      </c>
      <c r="C45" s="3">
        <v>989018</v>
      </c>
      <c r="D45" s="9">
        <v>0.157</v>
      </c>
      <c r="E45" s="178"/>
      <c r="F45" s="3">
        <v>11711</v>
      </c>
      <c r="G45" s="9">
        <f t="shared" si="1"/>
        <v>1.7109605697411847E-2</v>
      </c>
      <c r="H45" s="7">
        <v>54110</v>
      </c>
      <c r="I45" s="37">
        <f t="shared" si="7"/>
        <v>2.1855089642910061E-3</v>
      </c>
      <c r="J45" s="3">
        <v>13</v>
      </c>
      <c r="K45" s="9">
        <f t="shared" si="8"/>
        <v>-0.1875</v>
      </c>
      <c r="L45" s="3"/>
      <c r="M45" s="9"/>
      <c r="N45" s="98"/>
      <c r="O45" s="9"/>
      <c r="P45" s="98">
        <v>292</v>
      </c>
      <c r="Q45" s="9">
        <f t="shared" si="6"/>
        <v>0.140625</v>
      </c>
      <c r="R45" s="3"/>
      <c r="S45" s="9"/>
      <c r="T45" s="3">
        <v>130</v>
      </c>
      <c r="U45" s="9">
        <f t="shared" si="5"/>
        <v>0.30000000000000004</v>
      </c>
      <c r="V45" s="412"/>
      <c r="W45" s="422"/>
      <c r="X45" s="3"/>
      <c r="Y45" s="9"/>
      <c r="Z45" s="3"/>
      <c r="AA45" s="9"/>
      <c r="AB45" s="3">
        <v>3530</v>
      </c>
      <c r="AC45" s="9">
        <f t="shared" si="9"/>
        <v>0.11041207927021075</v>
      </c>
    </row>
    <row r="46" spans="1:29" s="152" customFormat="1" ht="13.5" customHeight="1">
      <c r="A46" s="461"/>
      <c r="B46" s="15" t="s">
        <v>47</v>
      </c>
      <c r="C46" s="3">
        <v>1107498</v>
      </c>
      <c r="D46" s="9">
        <v>0.222</v>
      </c>
      <c r="E46" s="178"/>
      <c r="F46" s="3">
        <v>16739</v>
      </c>
      <c r="G46" s="9">
        <f t="shared" si="1"/>
        <v>6.8901660280970625E-2</v>
      </c>
      <c r="H46" s="7">
        <v>67349</v>
      </c>
      <c r="I46" s="37">
        <f t="shared" si="7"/>
        <v>8.7221128079294871E-2</v>
      </c>
      <c r="J46" s="3">
        <v>33</v>
      </c>
      <c r="K46" s="9">
        <f t="shared" si="8"/>
        <v>2</v>
      </c>
      <c r="L46" s="3"/>
      <c r="M46" s="9"/>
      <c r="N46" s="98"/>
      <c r="O46" s="9"/>
      <c r="P46" s="98">
        <v>254</v>
      </c>
      <c r="Q46" s="9">
        <f t="shared" si="6"/>
        <v>0.84057971014492749</v>
      </c>
      <c r="R46" s="3"/>
      <c r="S46" s="9"/>
      <c r="T46" s="3">
        <v>220</v>
      </c>
      <c r="U46" s="9">
        <f t="shared" si="5"/>
        <v>1.75</v>
      </c>
      <c r="V46" s="412"/>
      <c r="W46" s="422"/>
      <c r="X46" s="3"/>
      <c r="Y46" s="9"/>
      <c r="Z46" s="3"/>
      <c r="AA46" s="9"/>
      <c r="AB46" s="3">
        <v>3555</v>
      </c>
      <c r="AC46" s="9">
        <f t="shared" si="9"/>
        <v>0.36941448382126346</v>
      </c>
    </row>
    <row r="47" spans="1:29" s="152" customFormat="1" ht="13.5" customHeight="1">
      <c r="A47" s="461"/>
      <c r="B47" s="15" t="s">
        <v>48</v>
      </c>
      <c r="C47" s="3">
        <v>1064076</v>
      </c>
      <c r="D47" s="9">
        <v>0.16200000000000001</v>
      </c>
      <c r="E47" s="178"/>
      <c r="F47" s="3">
        <v>20638</v>
      </c>
      <c r="G47" s="9">
        <f t="shared" si="1"/>
        <v>-6.7504066510030727E-2</v>
      </c>
      <c r="H47" s="7">
        <v>75208</v>
      </c>
      <c r="I47" s="37">
        <f t="shared" si="7"/>
        <v>0.11430815047486406</v>
      </c>
      <c r="J47" s="3">
        <v>22</v>
      </c>
      <c r="K47" s="9">
        <f t="shared" si="8"/>
        <v>0.5714285714285714</v>
      </c>
      <c r="L47" s="3"/>
      <c r="M47" s="9"/>
      <c r="N47" s="98"/>
      <c r="O47" s="9"/>
      <c r="P47" s="98">
        <v>242</v>
      </c>
      <c r="Q47" s="9">
        <f t="shared" si="6"/>
        <v>0.18048780487804872</v>
      </c>
      <c r="R47" s="3"/>
      <c r="S47" s="9"/>
      <c r="T47" s="3">
        <v>170</v>
      </c>
      <c r="U47" s="9">
        <f t="shared" si="5"/>
        <v>-0.15000000000000002</v>
      </c>
      <c r="V47" s="412"/>
      <c r="W47" s="422"/>
      <c r="X47" s="3"/>
      <c r="Y47" s="9"/>
      <c r="Z47" s="3"/>
      <c r="AA47" s="9"/>
      <c r="AB47" s="3">
        <v>2672</v>
      </c>
      <c r="AC47" s="9">
        <f t="shared" si="9"/>
        <v>0.16732197466142421</v>
      </c>
    </row>
    <row r="48" spans="1:29" s="152" customFormat="1" ht="13.5" customHeight="1">
      <c r="A48" s="461"/>
      <c r="B48" s="15" t="s">
        <v>51</v>
      </c>
      <c r="C48" s="3">
        <v>1297398</v>
      </c>
      <c r="D48" s="9">
        <v>0.18099999999999999</v>
      </c>
      <c r="E48" s="178"/>
      <c r="F48" s="5">
        <v>30717</v>
      </c>
      <c r="G48" s="9">
        <f t="shared" si="1"/>
        <v>3.7701429005776832E-2</v>
      </c>
      <c r="H48" s="53">
        <v>87645</v>
      </c>
      <c r="I48" s="37">
        <f t="shared" si="7"/>
        <v>5.9166878149584892E-2</v>
      </c>
      <c r="J48" s="5">
        <v>34</v>
      </c>
      <c r="K48" s="9">
        <f t="shared" si="8"/>
        <v>5.8</v>
      </c>
      <c r="L48" s="5"/>
      <c r="M48" s="9"/>
      <c r="N48" s="100"/>
      <c r="O48" s="9"/>
      <c r="P48" s="100">
        <v>272</v>
      </c>
      <c r="Q48" s="9">
        <f t="shared" si="6"/>
        <v>6.6666666666666652E-2</v>
      </c>
      <c r="R48" s="5"/>
      <c r="S48" s="9"/>
      <c r="T48" s="5">
        <v>380</v>
      </c>
      <c r="U48" s="9">
        <f t="shared" si="5"/>
        <v>0.80094786729857814</v>
      </c>
      <c r="V48" s="412"/>
      <c r="W48" s="422"/>
      <c r="X48" s="5"/>
      <c r="Y48" s="9"/>
      <c r="Z48" s="5"/>
      <c r="AA48" s="9"/>
      <c r="AB48" s="5">
        <v>4070</v>
      </c>
      <c r="AC48" s="9">
        <f t="shared" si="9"/>
        <v>0.30658105939004815</v>
      </c>
    </row>
    <row r="49" spans="1:29" s="152" customFormat="1" ht="13.5" customHeight="1">
      <c r="A49" s="461"/>
      <c r="B49" s="15" t="s">
        <v>52</v>
      </c>
      <c r="C49" s="3">
        <v>1308664</v>
      </c>
      <c r="D49" s="9">
        <v>0.128</v>
      </c>
      <c r="E49" s="178"/>
      <c r="F49" s="3">
        <v>25631</v>
      </c>
      <c r="G49" s="9">
        <f t="shared" si="1"/>
        <v>8.8503843377075633E-2</v>
      </c>
      <c r="H49" s="53">
        <v>93817</v>
      </c>
      <c r="I49" s="37">
        <f t="shared" si="7"/>
        <v>0.11197107976768994</v>
      </c>
      <c r="J49" s="5">
        <v>17</v>
      </c>
      <c r="K49" s="9">
        <f t="shared" si="8"/>
        <v>0.41666666666666669</v>
      </c>
      <c r="L49" s="5"/>
      <c r="M49" s="9"/>
      <c r="N49" s="100"/>
      <c r="O49" s="9"/>
      <c r="P49" s="100">
        <v>217</v>
      </c>
      <c r="Q49" s="9">
        <f t="shared" si="6"/>
        <v>-0.12851405622489964</v>
      </c>
      <c r="R49" s="5"/>
      <c r="S49" s="9"/>
      <c r="T49" s="5">
        <v>141</v>
      </c>
      <c r="U49" s="9">
        <f t="shared" si="5"/>
        <v>1.0142857142857142</v>
      </c>
      <c r="V49" s="412"/>
      <c r="W49" s="422"/>
      <c r="X49" s="5"/>
      <c r="Y49" s="9"/>
      <c r="Z49" s="5"/>
      <c r="AA49" s="9"/>
      <c r="AB49" s="5">
        <v>2437</v>
      </c>
      <c r="AC49" s="9">
        <f t="shared" si="9"/>
        <v>0.34196035242290751</v>
      </c>
    </row>
    <row r="50" spans="1:29" s="152" customFormat="1" ht="13.5" customHeight="1">
      <c r="A50" s="461"/>
      <c r="B50" s="15" t="s">
        <v>53</v>
      </c>
      <c r="C50" s="3">
        <v>1015650</v>
      </c>
      <c r="D50" s="9">
        <v>0.09</v>
      </c>
      <c r="E50" s="178"/>
      <c r="F50" s="3">
        <v>19950</v>
      </c>
      <c r="G50" s="9">
        <f t="shared" si="1"/>
        <v>6.0186578393018361E-4</v>
      </c>
      <c r="H50" s="53">
        <v>67771</v>
      </c>
      <c r="I50" s="37">
        <f t="shared" si="7"/>
        <v>2.3839378786276493E-2</v>
      </c>
      <c r="J50" s="5">
        <v>36</v>
      </c>
      <c r="K50" s="9">
        <f t="shared" si="8"/>
        <v>8</v>
      </c>
      <c r="L50" s="5"/>
      <c r="M50" s="9"/>
      <c r="N50" s="100"/>
      <c r="O50" s="9"/>
      <c r="P50" s="100">
        <v>217</v>
      </c>
      <c r="Q50" s="9">
        <f t="shared" si="6"/>
        <v>-6.4655172413793149E-2</v>
      </c>
      <c r="R50" s="5"/>
      <c r="S50" s="9"/>
      <c r="T50" s="5">
        <v>131</v>
      </c>
      <c r="U50" s="9">
        <f t="shared" si="5"/>
        <v>0.43956043956043955</v>
      </c>
      <c r="V50" s="412"/>
      <c r="W50" s="422"/>
      <c r="X50" s="5"/>
      <c r="Y50" s="9"/>
      <c r="Z50" s="5"/>
      <c r="AA50" s="9"/>
      <c r="AB50" s="5">
        <v>3423</v>
      </c>
      <c r="AC50" s="9">
        <f t="shared" si="9"/>
        <v>0.57451701931922727</v>
      </c>
    </row>
    <row r="51" spans="1:29" s="152" customFormat="1" ht="13.5" customHeight="1">
      <c r="A51" s="461"/>
      <c r="B51" s="15" t="s">
        <v>54</v>
      </c>
      <c r="C51" s="5">
        <v>1078092</v>
      </c>
      <c r="D51" s="9">
        <v>9.5000000000000001E-2</v>
      </c>
      <c r="E51" s="178"/>
      <c r="F51" s="5">
        <v>14431</v>
      </c>
      <c r="G51" s="9">
        <f t="shared" si="1"/>
        <v>1.874479311302416E-3</v>
      </c>
      <c r="H51" s="53">
        <v>56223</v>
      </c>
      <c r="I51" s="37">
        <f t="shared" si="7"/>
        <v>2.5967153284671533E-2</v>
      </c>
      <c r="J51" s="5">
        <v>21</v>
      </c>
      <c r="K51" s="9">
        <f t="shared" si="8"/>
        <v>0.90909090909090906</v>
      </c>
      <c r="L51" s="5"/>
      <c r="M51" s="9"/>
      <c r="N51" s="100"/>
      <c r="O51" s="9"/>
      <c r="P51" s="100">
        <v>252</v>
      </c>
      <c r="Q51" s="9">
        <f t="shared" si="6"/>
        <v>0.36956521739130443</v>
      </c>
      <c r="R51" s="5"/>
      <c r="S51" s="9"/>
      <c r="T51" s="5">
        <v>209</v>
      </c>
      <c r="U51" s="9">
        <f t="shared" si="5"/>
        <v>1.6124999999999998</v>
      </c>
      <c r="V51" s="412"/>
      <c r="W51" s="422"/>
      <c r="X51" s="5"/>
      <c r="Y51" s="9"/>
      <c r="Z51" s="5"/>
      <c r="AA51" s="9"/>
      <c r="AB51" s="5">
        <v>2340</v>
      </c>
      <c r="AC51" s="9">
        <f t="shared" si="9"/>
        <v>0.62049861495844871</v>
      </c>
    </row>
    <row r="52" spans="1:29" s="152" customFormat="1" ht="13.5" customHeight="1">
      <c r="A52" s="461"/>
      <c r="B52" s="15" t="s">
        <v>29</v>
      </c>
      <c r="C52" s="5">
        <v>1072557</v>
      </c>
      <c r="D52" s="9">
        <v>8.5999999999999993E-2</v>
      </c>
      <c r="E52" s="178"/>
      <c r="F52" s="5">
        <v>9687</v>
      </c>
      <c r="G52" s="9">
        <f t="shared" si="1"/>
        <v>-2.1416304677240126E-2</v>
      </c>
      <c r="H52" s="53">
        <v>50932</v>
      </c>
      <c r="I52" s="37">
        <f t="shared" si="7"/>
        <v>2.0865486761139283E-2</v>
      </c>
      <c r="J52" s="5">
        <v>28</v>
      </c>
      <c r="K52" s="9">
        <f t="shared" si="8"/>
        <v>0.8666666666666667</v>
      </c>
      <c r="L52" s="5"/>
      <c r="M52" s="9"/>
      <c r="N52" s="100"/>
      <c r="O52" s="9"/>
      <c r="P52" s="100">
        <v>239</v>
      </c>
      <c r="Q52" s="9">
        <f t="shared" si="6"/>
        <v>7.1748878923766801E-2</v>
      </c>
      <c r="R52" s="5"/>
      <c r="S52" s="9"/>
      <c r="T52" s="5">
        <v>228</v>
      </c>
      <c r="U52" s="9">
        <f t="shared" si="5"/>
        <v>0.41614906832298137</v>
      </c>
      <c r="V52" s="412"/>
      <c r="W52" s="422"/>
      <c r="X52" s="5"/>
      <c r="Y52" s="9"/>
      <c r="Z52" s="5"/>
      <c r="AA52" s="9"/>
      <c r="AB52" s="5">
        <v>2416</v>
      </c>
      <c r="AC52" s="9">
        <f t="shared" si="9"/>
        <v>0.10370031978072179</v>
      </c>
    </row>
    <row r="53" spans="1:29" s="152" customFormat="1" ht="13.5" customHeight="1">
      <c r="A53" s="462"/>
      <c r="B53" s="41" t="s">
        <v>55</v>
      </c>
      <c r="C53" s="5">
        <v>1081848</v>
      </c>
      <c r="D53" s="9">
        <v>6.5000000000000002E-2</v>
      </c>
      <c r="E53" s="178"/>
      <c r="F53" s="42">
        <v>14696</v>
      </c>
      <c r="G53" s="19">
        <f t="shared" si="1"/>
        <v>3.9027149321266968E-2</v>
      </c>
      <c r="H53" s="55">
        <v>63100</v>
      </c>
      <c r="I53" s="45">
        <f t="shared" si="7"/>
        <v>4.5371328504338138E-3</v>
      </c>
      <c r="J53" s="42">
        <v>13</v>
      </c>
      <c r="K53" s="19">
        <f t="shared" si="8"/>
        <v>0.44444444444444442</v>
      </c>
      <c r="L53" s="42"/>
      <c r="M53" s="19"/>
      <c r="N53" s="141"/>
      <c r="O53" s="19"/>
      <c r="P53" s="141">
        <v>270</v>
      </c>
      <c r="Q53" s="19">
        <f t="shared" si="6"/>
        <v>-7.3529411764705621E-3</v>
      </c>
      <c r="R53" s="42"/>
      <c r="S53" s="19"/>
      <c r="T53" s="42">
        <v>216</v>
      </c>
      <c r="U53" s="19">
        <f t="shared" si="5"/>
        <v>0.78512396694214881</v>
      </c>
      <c r="V53" s="413"/>
      <c r="W53" s="423"/>
      <c r="X53" s="42"/>
      <c r="Y53" s="19"/>
      <c r="Z53" s="42"/>
      <c r="AA53" s="19"/>
      <c r="AB53" s="42">
        <v>2992</v>
      </c>
      <c r="AC53" s="19">
        <f t="shared" si="9"/>
        <v>0.1307634164777022</v>
      </c>
    </row>
    <row r="54" spans="1:29" s="152" customFormat="1" ht="13.5" customHeight="1">
      <c r="A54" s="457" t="s">
        <v>56</v>
      </c>
      <c r="B54" s="2" t="s">
        <v>35</v>
      </c>
      <c r="C54" s="25">
        <v>1322909</v>
      </c>
      <c r="D54" s="24">
        <v>3.2000000000000001E-2</v>
      </c>
      <c r="E54" s="178"/>
      <c r="F54" s="25">
        <v>13537</v>
      </c>
      <c r="G54" s="24">
        <f t="shared" si="1"/>
        <v>6.1691690203656904E-3</v>
      </c>
      <c r="H54" s="56">
        <v>84958</v>
      </c>
      <c r="I54" s="28">
        <v>0.02</v>
      </c>
      <c r="J54" s="25">
        <v>15</v>
      </c>
      <c r="K54" s="24">
        <v>0.02</v>
      </c>
      <c r="L54" s="25"/>
      <c r="M54" s="24"/>
      <c r="N54" s="142">
        <v>1401</v>
      </c>
      <c r="O54" s="9"/>
      <c r="P54" s="142">
        <v>273</v>
      </c>
      <c r="Q54" s="9">
        <f t="shared" si="6"/>
        <v>-7.2727272727273196E-3</v>
      </c>
      <c r="R54" s="25"/>
      <c r="S54" s="9"/>
      <c r="T54" s="25">
        <v>156</v>
      </c>
      <c r="U54" s="9">
        <f t="shared" si="5"/>
        <v>-0.23152709359605916</v>
      </c>
      <c r="V54" s="411">
        <v>8207</v>
      </c>
      <c r="W54" s="421">
        <f>(V54/V42-1)</f>
        <v>0.11644674193987203</v>
      </c>
      <c r="X54" s="25"/>
      <c r="Y54" s="24"/>
      <c r="Z54" s="25"/>
      <c r="AA54" s="24"/>
      <c r="AB54" s="25">
        <v>4899</v>
      </c>
      <c r="AC54" s="24">
        <v>0.02</v>
      </c>
    </row>
    <row r="55" spans="1:29" s="152" customFormat="1" ht="13.5" customHeight="1">
      <c r="A55" s="461"/>
      <c r="B55" s="15" t="s">
        <v>36</v>
      </c>
      <c r="C55" s="5">
        <v>1132463</v>
      </c>
      <c r="D55" s="9">
        <v>0.153</v>
      </c>
      <c r="E55" s="178"/>
      <c r="F55" s="5">
        <v>10932</v>
      </c>
      <c r="G55" s="9">
        <f t="shared" si="1"/>
        <v>4.2135367016205912E-2</v>
      </c>
      <c r="H55" s="53">
        <v>58515</v>
      </c>
      <c r="I55" s="37">
        <v>9.4E-2</v>
      </c>
      <c r="J55" s="5">
        <v>33</v>
      </c>
      <c r="K55" s="9">
        <v>9.4E-2</v>
      </c>
      <c r="L55" s="5"/>
      <c r="M55" s="9"/>
      <c r="N55" s="100">
        <v>876</v>
      </c>
      <c r="O55" s="9"/>
      <c r="P55" s="100">
        <v>219</v>
      </c>
      <c r="Q55" s="9">
        <f t="shared" si="6"/>
        <v>-7.2033898305084776E-2</v>
      </c>
      <c r="R55" s="5"/>
      <c r="S55" s="9"/>
      <c r="T55" s="5">
        <v>163</v>
      </c>
      <c r="U55" s="9">
        <f t="shared" si="5"/>
        <v>0.16428571428571437</v>
      </c>
      <c r="V55" s="412"/>
      <c r="W55" s="422"/>
      <c r="X55" s="5"/>
      <c r="Y55" s="9"/>
      <c r="Z55" s="5"/>
      <c r="AA55" s="9"/>
      <c r="AB55" s="5">
        <v>3350</v>
      </c>
      <c r="AC55" s="9">
        <v>9.4E-2</v>
      </c>
    </row>
    <row r="56" spans="1:29" s="152" customFormat="1" ht="13.5" customHeight="1">
      <c r="A56" s="461"/>
      <c r="B56" s="15" t="s">
        <v>21</v>
      </c>
      <c r="C56" s="5">
        <v>983589</v>
      </c>
      <c r="D56" s="9">
        <v>-6.0299999999999999E-2</v>
      </c>
      <c r="E56" s="178"/>
      <c r="F56" s="5">
        <v>10988</v>
      </c>
      <c r="G56" s="9">
        <f t="shared" si="1"/>
        <v>-5.2431873059675747E-2</v>
      </c>
      <c r="H56" s="53">
        <v>56082</v>
      </c>
      <c r="I56" s="37">
        <v>5.5E-2</v>
      </c>
      <c r="J56" s="5">
        <v>39</v>
      </c>
      <c r="K56" s="9">
        <v>5.5E-2</v>
      </c>
      <c r="L56" s="5"/>
      <c r="M56" s="9"/>
      <c r="N56" s="100">
        <v>888</v>
      </c>
      <c r="O56" s="9"/>
      <c r="P56" s="100">
        <v>321</v>
      </c>
      <c r="Q56" s="9">
        <f t="shared" si="6"/>
        <v>0.60499999999999998</v>
      </c>
      <c r="R56" s="5"/>
      <c r="S56" s="9"/>
      <c r="T56" s="5">
        <v>246</v>
      </c>
      <c r="U56" s="9">
        <f t="shared" si="5"/>
        <v>0.6399999999999999</v>
      </c>
      <c r="V56" s="412"/>
      <c r="W56" s="422"/>
      <c r="X56" s="5"/>
      <c r="Y56" s="9"/>
      <c r="Z56" s="5"/>
      <c r="AA56" s="9"/>
      <c r="AB56" s="5">
        <v>3527</v>
      </c>
      <c r="AC56" s="9">
        <v>5.5E-2</v>
      </c>
    </row>
    <row r="57" spans="1:29" s="152" customFormat="1" ht="13.5" customHeight="1">
      <c r="A57" s="461"/>
      <c r="B57" s="15" t="s">
        <v>22</v>
      </c>
      <c r="C57" s="5">
        <v>1026750</v>
      </c>
      <c r="D57" s="9">
        <v>3.7999999999999999E-2</v>
      </c>
      <c r="E57" s="178"/>
      <c r="F57" s="5">
        <v>12031</v>
      </c>
      <c r="G57" s="9">
        <f t="shared" ref="G57:G86" si="10">(F57/F45-1)</f>
        <v>2.732473742635122E-2</v>
      </c>
      <c r="H57" s="53">
        <v>51959</v>
      </c>
      <c r="I57" s="37">
        <v>-0.04</v>
      </c>
      <c r="J57" s="5">
        <v>13</v>
      </c>
      <c r="K57" s="9">
        <v>-0.04</v>
      </c>
      <c r="L57" s="5"/>
      <c r="M57" s="9"/>
      <c r="N57" s="100">
        <v>748</v>
      </c>
      <c r="O57" s="9"/>
      <c r="P57" s="100">
        <v>227</v>
      </c>
      <c r="Q57" s="9">
        <f t="shared" si="6"/>
        <v>-0.2226027397260274</v>
      </c>
      <c r="R57" s="5"/>
      <c r="S57" s="9"/>
      <c r="T57" s="5">
        <v>141</v>
      </c>
      <c r="U57" s="9">
        <f t="shared" si="5"/>
        <v>8.4615384615384537E-2</v>
      </c>
      <c r="V57" s="412"/>
      <c r="W57" s="422"/>
      <c r="X57" s="5"/>
      <c r="Y57" s="9"/>
      <c r="Z57" s="5"/>
      <c r="AA57" s="9"/>
      <c r="AB57" s="5">
        <v>3439</v>
      </c>
      <c r="AC57" s="9">
        <v>-0.04</v>
      </c>
    </row>
    <row r="58" spans="1:29" s="152" customFormat="1" ht="13.5" customHeight="1">
      <c r="A58" s="461"/>
      <c r="B58" s="15" t="s">
        <v>23</v>
      </c>
      <c r="C58" s="5">
        <v>1099977</v>
      </c>
      <c r="D58" s="9">
        <v>-7.0000000000000001E-3</v>
      </c>
      <c r="E58" s="178"/>
      <c r="F58" s="5">
        <v>17371</v>
      </c>
      <c r="G58" s="9">
        <f t="shared" si="10"/>
        <v>3.7756138359519742E-2</v>
      </c>
      <c r="H58" s="53">
        <v>67847</v>
      </c>
      <c r="I58" s="37">
        <f t="shared" ref="I58:I86" si="11">(H58/H46-1)</f>
        <v>7.3943191435656974E-3</v>
      </c>
      <c r="J58" s="5">
        <v>26</v>
      </c>
      <c r="K58" s="9">
        <f t="shared" ref="K58:K86" si="12">(J58/J46-1)</f>
        <v>-0.21212121212121215</v>
      </c>
      <c r="L58" s="5"/>
      <c r="M58" s="9"/>
      <c r="N58" s="100">
        <v>516</v>
      </c>
      <c r="O58" s="9"/>
      <c r="P58" s="100">
        <v>224</v>
      </c>
      <c r="Q58" s="9">
        <f t="shared" si="6"/>
        <v>-0.11811023622047245</v>
      </c>
      <c r="R58" s="5"/>
      <c r="S58" s="9"/>
      <c r="T58" s="5">
        <v>216</v>
      </c>
      <c r="U58" s="9">
        <f t="shared" si="5"/>
        <v>-1.8181818181818188E-2</v>
      </c>
      <c r="V58" s="412"/>
      <c r="W58" s="422"/>
      <c r="X58" s="5"/>
      <c r="Y58" s="9"/>
      <c r="Z58" s="5"/>
      <c r="AA58" s="9"/>
      <c r="AB58" s="5">
        <v>2762</v>
      </c>
      <c r="AC58" s="9">
        <f t="shared" ref="AC58:AC86" si="13">(AB58/AB46-1)</f>
        <v>-0.22306610407876226</v>
      </c>
    </row>
    <row r="59" spans="1:29" s="152" customFormat="1" ht="13.5" customHeight="1">
      <c r="A59" s="461"/>
      <c r="B59" s="15" t="s">
        <v>24</v>
      </c>
      <c r="C59" s="5">
        <v>1004715</v>
      </c>
      <c r="D59" s="9">
        <v>-5.6000000000000001E-2</v>
      </c>
      <c r="E59" s="178"/>
      <c r="F59" s="5">
        <v>20631</v>
      </c>
      <c r="G59" s="9">
        <f t="shared" si="10"/>
        <v>-3.3918015311562577E-4</v>
      </c>
      <c r="H59" s="53">
        <v>72649</v>
      </c>
      <c r="I59" s="37">
        <f t="shared" si="11"/>
        <v>-3.4025635570683943E-2</v>
      </c>
      <c r="J59" s="5">
        <v>9</v>
      </c>
      <c r="K59" s="9">
        <f t="shared" si="12"/>
        <v>-0.59090909090909083</v>
      </c>
      <c r="L59" s="5"/>
      <c r="M59" s="9"/>
      <c r="N59" s="100">
        <v>452</v>
      </c>
      <c r="O59" s="9"/>
      <c r="P59" s="100">
        <v>204</v>
      </c>
      <c r="Q59" s="9">
        <f t="shared" si="6"/>
        <v>-0.15702479338842978</v>
      </c>
      <c r="R59" s="5"/>
      <c r="S59" s="9"/>
      <c r="T59" s="5">
        <v>248</v>
      </c>
      <c r="U59" s="9">
        <f t="shared" si="5"/>
        <v>0.45882352941176463</v>
      </c>
      <c r="V59" s="412"/>
      <c r="W59" s="422"/>
      <c r="X59" s="5"/>
      <c r="Y59" s="9"/>
      <c r="Z59" s="5"/>
      <c r="AA59" s="9"/>
      <c r="AB59" s="5">
        <v>3975</v>
      </c>
      <c r="AC59" s="9">
        <f t="shared" si="13"/>
        <v>0.4876497005988023</v>
      </c>
    </row>
    <row r="60" spans="1:29" s="152" customFormat="1" ht="13.5" customHeight="1">
      <c r="A60" s="461"/>
      <c r="B60" s="15" t="s">
        <v>25</v>
      </c>
      <c r="C60" s="5">
        <v>1135843</v>
      </c>
      <c r="D60" s="9">
        <v>-0.125</v>
      </c>
      <c r="E60" s="178"/>
      <c r="F60" s="5">
        <v>28720</v>
      </c>
      <c r="G60" s="9">
        <f t="shared" si="10"/>
        <v>-6.5012859328710482E-2</v>
      </c>
      <c r="H60" s="53">
        <v>80830</v>
      </c>
      <c r="I60" s="37">
        <f t="shared" si="11"/>
        <v>-7.7756860060471222E-2</v>
      </c>
      <c r="J60" s="5">
        <v>32</v>
      </c>
      <c r="K60" s="9">
        <f t="shared" si="12"/>
        <v>-5.8823529411764719E-2</v>
      </c>
      <c r="L60" s="5"/>
      <c r="M60" s="9"/>
      <c r="N60" s="100">
        <v>519</v>
      </c>
      <c r="O60" s="9"/>
      <c r="P60" s="100">
        <v>245</v>
      </c>
      <c r="Q60" s="9">
        <f t="shared" si="6"/>
        <v>-9.9264705882352922E-2</v>
      </c>
      <c r="R60" s="5"/>
      <c r="S60" s="9"/>
      <c r="T60" s="5">
        <v>200</v>
      </c>
      <c r="U60" s="9">
        <f t="shared" si="5"/>
        <v>-0.47368421052631582</v>
      </c>
      <c r="V60" s="412"/>
      <c r="W60" s="422"/>
      <c r="X60" s="5"/>
      <c r="Y60" s="9"/>
      <c r="Z60" s="5"/>
      <c r="AA60" s="9"/>
      <c r="AB60" s="5">
        <v>5171</v>
      </c>
      <c r="AC60" s="9">
        <f t="shared" si="13"/>
        <v>0.27051597051597054</v>
      </c>
    </row>
    <row r="61" spans="1:29" s="152" customFormat="1" ht="13.5" customHeight="1">
      <c r="A61" s="461"/>
      <c r="B61" s="15" t="s">
        <v>26</v>
      </c>
      <c r="C61" s="5">
        <v>1163809</v>
      </c>
      <c r="D61" s="9">
        <v>-0.111</v>
      </c>
      <c r="E61" s="178"/>
      <c r="F61" s="5">
        <v>23120</v>
      </c>
      <c r="G61" s="9">
        <f t="shared" si="10"/>
        <v>-9.7967305216339562E-2</v>
      </c>
      <c r="H61" s="53">
        <v>92204</v>
      </c>
      <c r="I61" s="37">
        <f t="shared" si="11"/>
        <v>-1.719304603643268E-2</v>
      </c>
      <c r="J61" s="5">
        <v>13</v>
      </c>
      <c r="K61" s="9">
        <f t="shared" si="12"/>
        <v>-0.23529411764705888</v>
      </c>
      <c r="L61" s="5"/>
      <c r="M61" s="9"/>
      <c r="N61" s="100">
        <v>539</v>
      </c>
      <c r="O61" s="9"/>
      <c r="P61" s="100">
        <v>243</v>
      </c>
      <c r="Q61" s="9">
        <f t="shared" si="6"/>
        <v>0.1198156682027649</v>
      </c>
      <c r="R61" s="5"/>
      <c r="S61" s="9"/>
      <c r="T61" s="5">
        <v>208</v>
      </c>
      <c r="U61" s="9">
        <f t="shared" si="5"/>
        <v>0.47517730496453892</v>
      </c>
      <c r="V61" s="412"/>
      <c r="W61" s="422"/>
      <c r="X61" s="5"/>
      <c r="Y61" s="9"/>
      <c r="Z61" s="5"/>
      <c r="AA61" s="9"/>
      <c r="AB61" s="5">
        <v>4011</v>
      </c>
      <c r="AC61" s="9">
        <f t="shared" si="13"/>
        <v>0.6458760771440295</v>
      </c>
    </row>
    <row r="62" spans="1:29" s="152" customFormat="1" ht="13.5" customHeight="1">
      <c r="A62" s="461"/>
      <c r="B62" s="15" t="s">
        <v>27</v>
      </c>
      <c r="C62" s="5">
        <v>818747</v>
      </c>
      <c r="D62" s="9">
        <v>-0.19400000000000001</v>
      </c>
      <c r="E62" s="178"/>
      <c r="F62" s="5">
        <v>17897</v>
      </c>
      <c r="G62" s="9">
        <f t="shared" si="10"/>
        <v>-0.10290726817042606</v>
      </c>
      <c r="H62" s="53">
        <v>55821</v>
      </c>
      <c r="I62" s="37">
        <f t="shared" si="11"/>
        <v>-0.17632910832066817</v>
      </c>
      <c r="J62" s="5">
        <v>10</v>
      </c>
      <c r="K62" s="9">
        <f t="shared" si="12"/>
        <v>-0.72222222222222221</v>
      </c>
      <c r="L62" s="5"/>
      <c r="M62" s="9"/>
      <c r="N62" s="100">
        <v>422</v>
      </c>
      <c r="O62" s="9"/>
      <c r="P62" s="100">
        <v>154</v>
      </c>
      <c r="Q62" s="9">
        <f t="shared" si="6"/>
        <v>-0.29032258064516125</v>
      </c>
      <c r="R62" s="5"/>
      <c r="S62" s="9"/>
      <c r="T62" s="5">
        <v>64</v>
      </c>
      <c r="U62" s="9">
        <f t="shared" si="5"/>
        <v>-0.51145038167938939</v>
      </c>
      <c r="V62" s="412"/>
      <c r="W62" s="422"/>
      <c r="X62" s="5"/>
      <c r="Y62" s="9"/>
      <c r="Z62" s="5"/>
      <c r="AA62" s="9"/>
      <c r="AB62" s="5">
        <v>2905</v>
      </c>
      <c r="AC62" s="9">
        <f t="shared" si="13"/>
        <v>-0.15132924335378328</v>
      </c>
    </row>
    <row r="63" spans="1:29" s="152" customFormat="1" ht="13.5" customHeight="1">
      <c r="A63" s="461"/>
      <c r="B63" s="15" t="s">
        <v>28</v>
      </c>
      <c r="C63" s="5">
        <v>932716</v>
      </c>
      <c r="D63" s="9">
        <v>-0.13500000000000001</v>
      </c>
      <c r="E63" s="178"/>
      <c r="F63" s="5">
        <v>11396</v>
      </c>
      <c r="G63" s="9">
        <f t="shared" si="10"/>
        <v>-0.21031113574942828</v>
      </c>
      <c r="H63" s="53">
        <v>47761</v>
      </c>
      <c r="I63" s="37">
        <f t="shared" si="11"/>
        <v>-0.1505077992992192</v>
      </c>
      <c r="J63" s="5">
        <v>4</v>
      </c>
      <c r="K63" s="9">
        <f t="shared" si="12"/>
        <v>-0.80952380952380953</v>
      </c>
      <c r="L63" s="5"/>
      <c r="M63" s="9"/>
      <c r="N63" s="100">
        <v>552</v>
      </c>
      <c r="O63" s="9"/>
      <c r="P63" s="100">
        <v>172</v>
      </c>
      <c r="Q63" s="9">
        <f t="shared" si="6"/>
        <v>-0.31746031746031744</v>
      </c>
      <c r="R63" s="5"/>
      <c r="S63" s="9"/>
      <c r="T63" s="5">
        <v>122</v>
      </c>
      <c r="U63" s="9">
        <f t="shared" si="5"/>
        <v>-0.41626794258373201</v>
      </c>
      <c r="V63" s="412"/>
      <c r="W63" s="422"/>
      <c r="X63" s="5"/>
      <c r="Y63" s="9"/>
      <c r="Z63" s="5"/>
      <c r="AA63" s="9"/>
      <c r="AB63" s="5">
        <v>2909</v>
      </c>
      <c r="AC63" s="9">
        <f t="shared" si="13"/>
        <v>0.24316239316239319</v>
      </c>
    </row>
    <row r="64" spans="1:29" s="152" customFormat="1" ht="13.5" customHeight="1">
      <c r="A64" s="461"/>
      <c r="B64" s="15" t="s">
        <v>29</v>
      </c>
      <c r="C64" s="5">
        <v>707012</v>
      </c>
      <c r="D64" s="9">
        <v>-0.34079999999999999</v>
      </c>
      <c r="E64" s="178"/>
      <c r="F64" s="5">
        <v>7169</v>
      </c>
      <c r="G64" s="9">
        <f t="shared" si="10"/>
        <v>-0.25993599669660372</v>
      </c>
      <c r="H64" s="53">
        <v>39334</v>
      </c>
      <c r="I64" s="37">
        <f t="shared" si="11"/>
        <v>-0.2277153852195084</v>
      </c>
      <c r="J64" s="5">
        <v>8</v>
      </c>
      <c r="K64" s="9">
        <f t="shared" si="12"/>
        <v>-0.7142857142857143</v>
      </c>
      <c r="L64" s="5"/>
      <c r="M64" s="9"/>
      <c r="N64" s="100">
        <v>546</v>
      </c>
      <c r="O64" s="9"/>
      <c r="P64" s="100">
        <v>155</v>
      </c>
      <c r="Q64" s="9">
        <f t="shared" si="6"/>
        <v>-0.35146443514644354</v>
      </c>
      <c r="R64" s="5"/>
      <c r="S64" s="9"/>
      <c r="T64" s="5">
        <v>158</v>
      </c>
      <c r="U64" s="9">
        <f t="shared" si="5"/>
        <v>-0.30701754385964908</v>
      </c>
      <c r="V64" s="412"/>
      <c r="W64" s="422"/>
      <c r="X64" s="5"/>
      <c r="Y64" s="9"/>
      <c r="Z64" s="5"/>
      <c r="AA64" s="9"/>
      <c r="AB64" s="5">
        <v>3166</v>
      </c>
      <c r="AC64" s="9">
        <f t="shared" si="13"/>
        <v>0.310430463576159</v>
      </c>
    </row>
    <row r="65" spans="1:29" s="152" customFormat="1" ht="13.5" customHeight="1">
      <c r="A65" s="462"/>
      <c r="B65" s="41" t="s">
        <v>30</v>
      </c>
      <c r="C65" s="42">
        <v>667564</v>
      </c>
      <c r="D65" s="19">
        <v>-0.38290000000000002</v>
      </c>
      <c r="E65" s="178"/>
      <c r="F65" s="42">
        <v>10101</v>
      </c>
      <c r="G65" s="19">
        <f t="shared" si="10"/>
        <v>-0.3126701143168209</v>
      </c>
      <c r="H65" s="55">
        <v>51434</v>
      </c>
      <c r="I65" s="37">
        <f t="shared" si="11"/>
        <v>-0.18488114104595876</v>
      </c>
      <c r="J65" s="42">
        <v>9</v>
      </c>
      <c r="K65" s="9">
        <f t="shared" si="12"/>
        <v>-0.30769230769230771</v>
      </c>
      <c r="L65" s="42"/>
      <c r="M65" s="9"/>
      <c r="N65" s="141">
        <v>397</v>
      </c>
      <c r="O65" s="19"/>
      <c r="P65" s="141">
        <v>260</v>
      </c>
      <c r="Q65" s="19">
        <f t="shared" si="6"/>
        <v>-3.703703703703709E-2</v>
      </c>
      <c r="R65" s="42"/>
      <c r="S65" s="19"/>
      <c r="T65" s="42">
        <v>127</v>
      </c>
      <c r="U65" s="19">
        <f t="shared" si="5"/>
        <v>-0.41203703703703709</v>
      </c>
      <c r="V65" s="413"/>
      <c r="W65" s="423"/>
      <c r="X65" s="42"/>
      <c r="Y65" s="9"/>
      <c r="Z65" s="42"/>
      <c r="AA65" s="9"/>
      <c r="AB65" s="42">
        <v>2251</v>
      </c>
      <c r="AC65" s="9">
        <f t="shared" si="13"/>
        <v>-0.24766042780748665</v>
      </c>
    </row>
    <row r="66" spans="1:29" s="152" customFormat="1" ht="13.5" customHeight="1">
      <c r="A66" s="457" t="s">
        <v>58</v>
      </c>
      <c r="B66" s="2" t="s">
        <v>35</v>
      </c>
      <c r="C66" s="25">
        <v>812901</v>
      </c>
      <c r="D66" s="24">
        <v>-0.38600000000000001</v>
      </c>
      <c r="E66" s="178"/>
      <c r="F66" s="25">
        <v>10749</v>
      </c>
      <c r="G66" s="9">
        <f t="shared" si="10"/>
        <v>-0.20595405185787097</v>
      </c>
      <c r="H66" s="56">
        <v>70458</v>
      </c>
      <c r="I66" s="28">
        <f t="shared" si="11"/>
        <v>-0.1706725676216484</v>
      </c>
      <c r="J66" s="25">
        <v>44</v>
      </c>
      <c r="K66" s="24">
        <f t="shared" si="12"/>
        <v>1.9333333333333331</v>
      </c>
      <c r="L66" s="25">
        <v>1032</v>
      </c>
      <c r="M66" s="24"/>
      <c r="N66" s="142">
        <v>910</v>
      </c>
      <c r="O66" s="9">
        <f t="shared" ref="O66:O97" si="14">(N66/N54-1)</f>
        <v>-0.3504639543183441</v>
      </c>
      <c r="P66" s="142">
        <v>260</v>
      </c>
      <c r="Q66" s="9">
        <f t="shared" ref="Q66:Q125" si="15">(P66/P54-1)</f>
        <v>-4.7619047619047672E-2</v>
      </c>
      <c r="R66" s="25"/>
      <c r="S66" s="9"/>
      <c r="T66" s="25">
        <v>215</v>
      </c>
      <c r="U66" s="9">
        <f t="shared" si="5"/>
        <v>0.37820512820512819</v>
      </c>
      <c r="V66" s="411">
        <v>6158</v>
      </c>
      <c r="W66" s="421">
        <f>(V66/V54-1)</f>
        <v>-0.24966492019008169</v>
      </c>
      <c r="X66" s="25"/>
      <c r="Y66" s="24"/>
      <c r="Z66" s="25"/>
      <c r="AA66" s="24"/>
      <c r="AB66" s="25">
        <v>1887</v>
      </c>
      <c r="AC66" s="24">
        <f t="shared" si="13"/>
        <v>-0.61481935088793627</v>
      </c>
    </row>
    <row r="67" spans="1:29" s="152" customFormat="1" ht="13.5" customHeight="1">
      <c r="A67" s="461"/>
      <c r="B67" s="15" t="s">
        <v>36</v>
      </c>
      <c r="C67" s="5">
        <v>753642</v>
      </c>
      <c r="D67" s="9">
        <v>-0.33500000000000002</v>
      </c>
      <c r="E67" s="178"/>
      <c r="F67" s="5">
        <v>7597</v>
      </c>
      <c r="G67" s="9">
        <f t="shared" si="10"/>
        <v>-0.3050676911818514</v>
      </c>
      <c r="H67" s="53">
        <v>43090</v>
      </c>
      <c r="I67" s="37">
        <f t="shared" si="11"/>
        <v>-0.26360762197727083</v>
      </c>
      <c r="J67" s="5">
        <v>33</v>
      </c>
      <c r="K67" s="9">
        <f t="shared" si="12"/>
        <v>0</v>
      </c>
      <c r="L67" s="5">
        <v>718</v>
      </c>
      <c r="M67" s="9"/>
      <c r="N67" s="100">
        <v>670</v>
      </c>
      <c r="O67" s="9">
        <f t="shared" si="14"/>
        <v>-0.23515981735159819</v>
      </c>
      <c r="P67" s="100">
        <v>189</v>
      </c>
      <c r="Q67" s="9">
        <f t="shared" si="15"/>
        <v>-0.13698630136986301</v>
      </c>
      <c r="R67" s="5"/>
      <c r="S67" s="9"/>
      <c r="T67" s="5">
        <v>104</v>
      </c>
      <c r="U67" s="9">
        <f t="shared" si="5"/>
        <v>-0.3619631901840491</v>
      </c>
      <c r="V67" s="412"/>
      <c r="W67" s="422"/>
      <c r="X67" s="5"/>
      <c r="Y67" s="9"/>
      <c r="Z67" s="5"/>
      <c r="AA67" s="9"/>
      <c r="AB67" s="5">
        <v>1997</v>
      </c>
      <c r="AC67" s="9">
        <f t="shared" si="13"/>
        <v>-0.4038805970149254</v>
      </c>
    </row>
    <row r="68" spans="1:29" s="152" customFormat="1" ht="13.5" customHeight="1">
      <c r="A68" s="461"/>
      <c r="B68" s="15" t="s">
        <v>21</v>
      </c>
      <c r="C68" s="5">
        <v>702043</v>
      </c>
      <c r="D68" s="9">
        <v>-0.28599999999999998</v>
      </c>
      <c r="E68" s="178"/>
      <c r="F68" s="5">
        <v>9464</v>
      </c>
      <c r="G68" s="9">
        <f t="shared" si="10"/>
        <v>-0.13869676010192933</v>
      </c>
      <c r="H68" s="53">
        <v>46689</v>
      </c>
      <c r="I68" s="37">
        <f t="shared" si="11"/>
        <v>-0.16748689419064944</v>
      </c>
      <c r="J68" s="5">
        <v>23</v>
      </c>
      <c r="K68" s="9">
        <f t="shared" si="12"/>
        <v>-0.41025641025641024</v>
      </c>
      <c r="L68" s="5">
        <v>801</v>
      </c>
      <c r="M68" s="9"/>
      <c r="N68" s="100">
        <v>594</v>
      </c>
      <c r="O68" s="9">
        <f t="shared" si="14"/>
        <v>-0.33108108108108103</v>
      </c>
      <c r="P68" s="100">
        <v>216</v>
      </c>
      <c r="Q68" s="9">
        <f t="shared" si="15"/>
        <v>-0.32710280373831779</v>
      </c>
      <c r="R68" s="5"/>
      <c r="S68" s="9"/>
      <c r="T68" s="5">
        <v>175</v>
      </c>
      <c r="U68" s="9">
        <f t="shared" si="5"/>
        <v>-0.28861788617886175</v>
      </c>
      <c r="V68" s="412"/>
      <c r="W68" s="422"/>
      <c r="X68" s="5"/>
      <c r="Y68" s="9"/>
      <c r="Z68" s="5"/>
      <c r="AA68" s="9"/>
      <c r="AB68" s="5">
        <v>2193</v>
      </c>
      <c r="AC68" s="9">
        <f t="shared" si="13"/>
        <v>-0.37822512049900769</v>
      </c>
    </row>
    <row r="69" spans="1:29" s="152" customFormat="1" ht="13.5" customHeight="1">
      <c r="A69" s="461"/>
      <c r="B69" s="15" t="s">
        <v>22</v>
      </c>
      <c r="C69" s="5">
        <v>734681</v>
      </c>
      <c r="D69" s="9">
        <v>-0.28399999999999997</v>
      </c>
      <c r="E69" s="178"/>
      <c r="F69" s="5">
        <v>8759</v>
      </c>
      <c r="G69" s="9">
        <f t="shared" si="10"/>
        <v>-0.27196409276036904</v>
      </c>
      <c r="H69" s="53">
        <v>47658</v>
      </c>
      <c r="I69" s="37">
        <f t="shared" si="11"/>
        <v>-8.277680478839089E-2</v>
      </c>
      <c r="J69" s="5">
        <v>11</v>
      </c>
      <c r="K69" s="9">
        <f t="shared" si="12"/>
        <v>-0.15384615384615385</v>
      </c>
      <c r="L69" s="5">
        <v>983</v>
      </c>
      <c r="M69" s="9"/>
      <c r="N69" s="100">
        <v>508</v>
      </c>
      <c r="O69" s="9">
        <f t="shared" si="14"/>
        <v>-0.32085561497326198</v>
      </c>
      <c r="P69" s="100">
        <v>227</v>
      </c>
      <c r="Q69" s="9">
        <f t="shared" si="15"/>
        <v>0</v>
      </c>
      <c r="R69" s="5"/>
      <c r="S69" s="9"/>
      <c r="T69" s="5">
        <v>176</v>
      </c>
      <c r="U69" s="9">
        <f t="shared" si="5"/>
        <v>0.24822695035460995</v>
      </c>
      <c r="V69" s="412"/>
      <c r="W69" s="422"/>
      <c r="X69" s="5"/>
      <c r="Y69" s="9"/>
      <c r="Z69" s="5"/>
      <c r="AA69" s="9"/>
      <c r="AB69" s="5">
        <v>1677</v>
      </c>
      <c r="AC69" s="9">
        <f t="shared" si="13"/>
        <v>-0.51235824367548699</v>
      </c>
    </row>
    <row r="70" spans="1:29" s="152" customFormat="1" ht="13.5" customHeight="1">
      <c r="A70" s="461"/>
      <c r="B70" s="15" t="s">
        <v>23</v>
      </c>
      <c r="C70" s="5">
        <v>737396</v>
      </c>
      <c r="D70" s="9">
        <v>-0.33</v>
      </c>
      <c r="E70" s="178"/>
      <c r="F70" s="5">
        <v>11078</v>
      </c>
      <c r="G70" s="9">
        <f t="shared" si="10"/>
        <v>-0.36227045075125208</v>
      </c>
      <c r="H70" s="53">
        <v>54656</v>
      </c>
      <c r="I70" s="37">
        <f t="shared" si="11"/>
        <v>-0.19442274529455983</v>
      </c>
      <c r="J70" s="5">
        <v>31</v>
      </c>
      <c r="K70" s="9">
        <f t="shared" si="12"/>
        <v>0.19230769230769229</v>
      </c>
      <c r="L70" s="5">
        <v>683</v>
      </c>
      <c r="M70" s="9"/>
      <c r="N70" s="100">
        <v>436</v>
      </c>
      <c r="O70" s="9">
        <f t="shared" si="14"/>
        <v>-0.15503875968992253</v>
      </c>
      <c r="P70" s="100">
        <v>200</v>
      </c>
      <c r="Q70" s="9">
        <f t="shared" si="15"/>
        <v>-0.1071428571428571</v>
      </c>
      <c r="R70" s="5"/>
      <c r="S70" s="9"/>
      <c r="T70" s="5">
        <v>164</v>
      </c>
      <c r="U70" s="9">
        <f t="shared" si="5"/>
        <v>-0.2407407407407407</v>
      </c>
      <c r="V70" s="412"/>
      <c r="W70" s="422"/>
      <c r="X70" s="5"/>
      <c r="Y70" s="9"/>
      <c r="Z70" s="5"/>
      <c r="AA70" s="9"/>
      <c r="AB70" s="5">
        <v>1572</v>
      </c>
      <c r="AC70" s="9">
        <f t="shared" si="13"/>
        <v>-0.4308472121650978</v>
      </c>
    </row>
    <row r="71" spans="1:29" s="152" customFormat="1" ht="13.5" customHeight="1">
      <c r="A71" s="461"/>
      <c r="B71" s="15" t="s">
        <v>24</v>
      </c>
      <c r="C71" s="5">
        <v>731137</v>
      </c>
      <c r="D71" s="9">
        <v>-0.27200000000000002</v>
      </c>
      <c r="E71" s="178"/>
      <c r="F71" s="5">
        <v>14624</v>
      </c>
      <c r="G71" s="9">
        <f t="shared" si="10"/>
        <v>-0.29116378265716636</v>
      </c>
      <c r="H71" s="53">
        <v>63507</v>
      </c>
      <c r="I71" s="37">
        <f t="shared" si="11"/>
        <v>-0.12583793307547253</v>
      </c>
      <c r="J71" s="5">
        <v>20</v>
      </c>
      <c r="K71" s="9">
        <f t="shared" si="12"/>
        <v>1.2222222222222223</v>
      </c>
      <c r="L71" s="5">
        <v>699</v>
      </c>
      <c r="M71" s="9"/>
      <c r="N71" s="100">
        <v>382</v>
      </c>
      <c r="O71" s="9">
        <f t="shared" si="14"/>
        <v>-0.15486725663716816</v>
      </c>
      <c r="P71" s="100">
        <v>185</v>
      </c>
      <c r="Q71" s="9">
        <f t="shared" si="15"/>
        <v>-9.3137254901960786E-2</v>
      </c>
      <c r="R71" s="5"/>
      <c r="S71" s="9"/>
      <c r="T71" s="5">
        <v>197</v>
      </c>
      <c r="U71" s="9">
        <f t="shared" si="5"/>
        <v>-0.20564516129032262</v>
      </c>
      <c r="V71" s="412"/>
      <c r="W71" s="422"/>
      <c r="X71" s="5"/>
      <c r="Y71" s="9"/>
      <c r="Z71" s="5"/>
      <c r="AA71" s="9"/>
      <c r="AB71" s="5">
        <v>1804</v>
      </c>
      <c r="AC71" s="9">
        <f t="shared" si="13"/>
        <v>-0.54616352201257867</v>
      </c>
    </row>
    <row r="72" spans="1:29" s="152" customFormat="1" ht="13.5" customHeight="1">
      <c r="A72" s="461"/>
      <c r="B72" s="15" t="s">
        <v>25</v>
      </c>
      <c r="C72" s="5">
        <v>996695</v>
      </c>
      <c r="D72" s="9">
        <v>-0.123</v>
      </c>
      <c r="E72" s="178"/>
      <c r="F72" s="5">
        <v>21894</v>
      </c>
      <c r="G72" s="9">
        <f t="shared" si="10"/>
        <v>-0.23767409470752088</v>
      </c>
      <c r="H72" s="53">
        <v>89451</v>
      </c>
      <c r="I72" s="37">
        <f t="shared" si="11"/>
        <v>0.10665594457503391</v>
      </c>
      <c r="J72" s="5">
        <v>27</v>
      </c>
      <c r="K72" s="9">
        <f t="shared" si="12"/>
        <v>-0.15625</v>
      </c>
      <c r="L72" s="5">
        <v>654</v>
      </c>
      <c r="M72" s="9"/>
      <c r="N72" s="100">
        <v>438</v>
      </c>
      <c r="O72" s="9">
        <f t="shared" si="14"/>
        <v>-0.15606936416184969</v>
      </c>
      <c r="P72" s="100">
        <v>271</v>
      </c>
      <c r="Q72" s="9">
        <f t="shared" si="15"/>
        <v>0.10612244897959178</v>
      </c>
      <c r="R72" s="5"/>
      <c r="S72" s="9"/>
      <c r="T72" s="5">
        <v>189</v>
      </c>
      <c r="U72" s="9">
        <f t="shared" si="5"/>
        <v>-5.5000000000000049E-2</v>
      </c>
      <c r="V72" s="412"/>
      <c r="W72" s="422"/>
      <c r="X72" s="5"/>
      <c r="Y72" s="9"/>
      <c r="Z72" s="5"/>
      <c r="AA72" s="9"/>
      <c r="AB72" s="5">
        <v>2089</v>
      </c>
      <c r="AC72" s="9">
        <f t="shared" si="13"/>
        <v>-0.59601624444014689</v>
      </c>
    </row>
    <row r="73" spans="1:29" s="152" customFormat="1" ht="13.5" customHeight="1">
      <c r="A73" s="461"/>
      <c r="B73" s="15" t="s">
        <v>26</v>
      </c>
      <c r="C73" s="5">
        <v>1041527</v>
      </c>
      <c r="D73" s="9">
        <v>-0.105</v>
      </c>
      <c r="E73" s="178"/>
      <c r="F73" s="5">
        <v>15818</v>
      </c>
      <c r="G73" s="9">
        <f t="shared" si="10"/>
        <v>-0.3158304498269896</v>
      </c>
      <c r="H73" s="53">
        <v>88749</v>
      </c>
      <c r="I73" s="37">
        <f t="shared" si="11"/>
        <v>-3.7471259381371746E-2</v>
      </c>
      <c r="J73" s="5">
        <v>18</v>
      </c>
      <c r="K73" s="9">
        <f t="shared" si="12"/>
        <v>0.38461538461538458</v>
      </c>
      <c r="L73" s="5">
        <v>957</v>
      </c>
      <c r="M73" s="9"/>
      <c r="N73" s="100">
        <v>426</v>
      </c>
      <c r="O73" s="9">
        <f t="shared" si="14"/>
        <v>-0.20964749536178107</v>
      </c>
      <c r="P73" s="100">
        <v>268</v>
      </c>
      <c r="Q73" s="9">
        <f t="shared" si="15"/>
        <v>0.10288065843621408</v>
      </c>
      <c r="R73" s="5"/>
      <c r="S73" s="9"/>
      <c r="T73" s="5">
        <v>208</v>
      </c>
      <c r="U73" s="9">
        <f t="shared" si="5"/>
        <v>0</v>
      </c>
      <c r="V73" s="412"/>
      <c r="W73" s="422"/>
      <c r="X73" s="5"/>
      <c r="Y73" s="9"/>
      <c r="Z73" s="5"/>
      <c r="AA73" s="9"/>
      <c r="AB73" s="5">
        <v>2161</v>
      </c>
      <c r="AC73" s="9">
        <f t="shared" si="13"/>
        <v>-0.46123161306407379</v>
      </c>
    </row>
    <row r="74" spans="1:29" s="152" customFormat="1" ht="13.5" customHeight="1">
      <c r="A74" s="461"/>
      <c r="B74" s="15" t="s">
        <v>27</v>
      </c>
      <c r="C74" s="5">
        <v>658487</v>
      </c>
      <c r="D74" s="9">
        <v>-0.19600000000000001</v>
      </c>
      <c r="E74" s="178"/>
      <c r="F74" s="5">
        <v>12629</v>
      </c>
      <c r="G74" s="9">
        <f t="shared" si="10"/>
        <v>-0.29435100854891882</v>
      </c>
      <c r="H74" s="53">
        <v>56147</v>
      </c>
      <c r="I74" s="37">
        <f t="shared" si="11"/>
        <v>5.8400960212106057E-3</v>
      </c>
      <c r="J74" s="5">
        <v>31</v>
      </c>
      <c r="K74" s="9">
        <f t="shared" si="12"/>
        <v>2.1</v>
      </c>
      <c r="L74" s="5">
        <v>737</v>
      </c>
      <c r="M74" s="9"/>
      <c r="N74" s="100">
        <v>431</v>
      </c>
      <c r="O74" s="9">
        <f t="shared" si="14"/>
        <v>2.1327014218009532E-2</v>
      </c>
      <c r="P74" s="100">
        <v>174</v>
      </c>
      <c r="Q74" s="9">
        <f t="shared" si="15"/>
        <v>0.12987012987012991</v>
      </c>
      <c r="R74" s="5"/>
      <c r="S74" s="9"/>
      <c r="T74" s="5">
        <v>134</v>
      </c>
      <c r="U74" s="9">
        <f t="shared" si="5"/>
        <v>1.09375</v>
      </c>
      <c r="V74" s="412"/>
      <c r="W74" s="422"/>
      <c r="X74" s="5"/>
      <c r="Y74" s="9"/>
      <c r="Z74" s="5"/>
      <c r="AA74" s="9"/>
      <c r="AB74" s="5">
        <v>2105</v>
      </c>
      <c r="AC74" s="9">
        <f t="shared" si="13"/>
        <v>-0.2753872633390706</v>
      </c>
    </row>
    <row r="75" spans="1:29" s="152" customFormat="1" ht="13.5" customHeight="1">
      <c r="A75" s="461"/>
      <c r="B75" s="15" t="s">
        <v>28</v>
      </c>
      <c r="C75" s="5">
        <v>714880</v>
      </c>
      <c r="D75" s="9">
        <v>-0.23400000000000001</v>
      </c>
      <c r="E75" s="178"/>
      <c r="F75" s="5">
        <v>9384</v>
      </c>
      <c r="G75" s="9">
        <f t="shared" si="10"/>
        <v>-0.17655317655317659</v>
      </c>
      <c r="H75" s="53">
        <v>53166</v>
      </c>
      <c r="I75" s="37">
        <f t="shared" si="11"/>
        <v>0.11316764724356698</v>
      </c>
      <c r="J75" s="5">
        <v>11</v>
      </c>
      <c r="K75" s="9">
        <f t="shared" si="12"/>
        <v>1.75</v>
      </c>
      <c r="L75" s="5">
        <v>626</v>
      </c>
      <c r="M75" s="9"/>
      <c r="N75" s="100">
        <v>520</v>
      </c>
      <c r="O75" s="9">
        <f t="shared" si="14"/>
        <v>-5.7971014492753659E-2</v>
      </c>
      <c r="P75" s="100">
        <v>231</v>
      </c>
      <c r="Q75" s="9">
        <f t="shared" si="15"/>
        <v>0.34302325581395343</v>
      </c>
      <c r="R75" s="5"/>
      <c r="S75" s="9"/>
      <c r="T75" s="5">
        <v>140</v>
      </c>
      <c r="U75" s="9">
        <f t="shared" si="5"/>
        <v>0.14754098360655732</v>
      </c>
      <c r="V75" s="412"/>
      <c r="W75" s="422"/>
      <c r="X75" s="5"/>
      <c r="Y75" s="9"/>
      <c r="Z75" s="5"/>
      <c r="AA75" s="9"/>
      <c r="AB75" s="5">
        <v>1971</v>
      </c>
      <c r="AC75" s="9">
        <f t="shared" si="13"/>
        <v>-0.32244757648676525</v>
      </c>
    </row>
    <row r="76" spans="1:29" s="152" customFormat="1" ht="13.5" customHeight="1">
      <c r="A76" s="461"/>
      <c r="B76" s="15" t="s">
        <v>29</v>
      </c>
      <c r="C76" s="5">
        <v>721940</v>
      </c>
      <c r="D76" s="9">
        <v>2.1000000000000001E-2</v>
      </c>
      <c r="E76" s="178"/>
      <c r="F76" s="5">
        <v>6047</v>
      </c>
      <c r="G76" s="9">
        <f t="shared" si="10"/>
        <v>-0.15650718370763006</v>
      </c>
      <c r="H76" s="53">
        <v>49710</v>
      </c>
      <c r="I76" s="37">
        <f t="shared" si="11"/>
        <v>0.26379213911628607</v>
      </c>
      <c r="J76" s="5">
        <v>26</v>
      </c>
      <c r="K76" s="9">
        <f t="shared" si="12"/>
        <v>2.25</v>
      </c>
      <c r="L76" s="5">
        <v>560</v>
      </c>
      <c r="M76" s="9"/>
      <c r="N76" s="100">
        <v>511</v>
      </c>
      <c r="O76" s="9">
        <f t="shared" si="14"/>
        <v>-6.4102564102564097E-2</v>
      </c>
      <c r="P76" s="100">
        <v>192</v>
      </c>
      <c r="Q76" s="9">
        <f t="shared" si="15"/>
        <v>0.23870967741935489</v>
      </c>
      <c r="R76" s="5"/>
      <c r="S76" s="9"/>
      <c r="T76" s="5">
        <v>166</v>
      </c>
      <c r="U76" s="9">
        <f t="shared" si="5"/>
        <v>5.0632911392405111E-2</v>
      </c>
      <c r="V76" s="412"/>
      <c r="W76" s="422"/>
      <c r="X76" s="5"/>
      <c r="Y76" s="9"/>
      <c r="Z76" s="5"/>
      <c r="AA76" s="9"/>
      <c r="AB76" s="5">
        <v>2210</v>
      </c>
      <c r="AC76" s="9">
        <f t="shared" si="13"/>
        <v>-0.30195830701200255</v>
      </c>
    </row>
    <row r="77" spans="1:29" s="152" customFormat="1" ht="13.5" customHeight="1">
      <c r="A77" s="462"/>
      <c r="B77" s="41" t="s">
        <v>30</v>
      </c>
      <c r="C77" s="5">
        <v>888782</v>
      </c>
      <c r="D77" s="9">
        <v>0.33100000000000002</v>
      </c>
      <c r="E77" s="178"/>
      <c r="F77" s="5">
        <v>10103</v>
      </c>
      <c r="G77" s="19">
        <f t="shared" si="10"/>
        <v>1.980001980002033E-4</v>
      </c>
      <c r="H77" s="55">
        <v>80565</v>
      </c>
      <c r="I77" s="45">
        <f t="shared" si="11"/>
        <v>0.56637632694326712</v>
      </c>
      <c r="J77" s="42">
        <v>16</v>
      </c>
      <c r="K77" s="19">
        <f t="shared" si="12"/>
        <v>0.77777777777777768</v>
      </c>
      <c r="L77" s="42">
        <v>911</v>
      </c>
      <c r="M77" s="19"/>
      <c r="N77" s="141">
        <v>756</v>
      </c>
      <c r="O77" s="19">
        <f t="shared" si="14"/>
        <v>0.90428211586901752</v>
      </c>
      <c r="P77" s="141">
        <v>311</v>
      </c>
      <c r="Q77" s="19">
        <f t="shared" si="15"/>
        <v>0.19615384615384612</v>
      </c>
      <c r="R77" s="42"/>
      <c r="S77" s="19"/>
      <c r="T77" s="42">
        <v>137</v>
      </c>
      <c r="U77" s="19">
        <f t="shared" si="5"/>
        <v>7.8740157480315043E-2</v>
      </c>
      <c r="V77" s="413"/>
      <c r="W77" s="423"/>
      <c r="X77" s="42"/>
      <c r="Y77" s="19"/>
      <c r="Z77" s="42"/>
      <c r="AA77" s="19"/>
      <c r="AB77" s="42">
        <v>2474</v>
      </c>
      <c r="AC77" s="19">
        <f t="shared" si="13"/>
        <v>9.9067081297201209E-2</v>
      </c>
    </row>
    <row r="78" spans="1:29" s="152" customFormat="1" ht="13.5" customHeight="1">
      <c r="A78" s="457" t="s">
        <v>59</v>
      </c>
      <c r="B78" s="62" t="s">
        <v>35</v>
      </c>
      <c r="C78" s="23">
        <v>1118261</v>
      </c>
      <c r="D78" s="24">
        <v>0.376</v>
      </c>
      <c r="E78" s="178"/>
      <c r="F78" s="25">
        <v>10034</v>
      </c>
      <c r="G78" s="9">
        <f t="shared" si="10"/>
        <v>-6.6517815610754538E-2</v>
      </c>
      <c r="H78" s="7">
        <v>98629</v>
      </c>
      <c r="I78" s="37">
        <f t="shared" si="11"/>
        <v>0.39982684719975015</v>
      </c>
      <c r="J78" s="3">
        <v>22</v>
      </c>
      <c r="K78" s="9">
        <f t="shared" si="12"/>
        <v>-0.5</v>
      </c>
      <c r="L78" s="25">
        <v>875</v>
      </c>
      <c r="M78" s="9">
        <f t="shared" ref="M78:M86" si="16">(L78/L66-1)</f>
        <v>-0.15213178294573648</v>
      </c>
      <c r="N78" s="98">
        <v>1322</v>
      </c>
      <c r="O78" s="9">
        <f t="shared" si="14"/>
        <v>0.45274725274725269</v>
      </c>
      <c r="P78" s="98">
        <v>340</v>
      </c>
      <c r="Q78" s="9">
        <f t="shared" si="15"/>
        <v>0.30769230769230771</v>
      </c>
      <c r="R78" s="3"/>
      <c r="S78" s="9"/>
      <c r="T78" s="3">
        <v>288</v>
      </c>
      <c r="U78" s="9">
        <f t="shared" si="5"/>
        <v>0.33953488372093021</v>
      </c>
      <c r="V78" s="411">
        <v>7811</v>
      </c>
      <c r="W78" s="421">
        <f>(V78/V66-1)</f>
        <v>0.26843130886651512</v>
      </c>
      <c r="X78" s="3"/>
      <c r="Y78" s="9"/>
      <c r="Z78" s="3">
        <v>50</v>
      </c>
      <c r="AA78" s="9"/>
      <c r="AB78" s="3">
        <v>2857</v>
      </c>
      <c r="AC78" s="9">
        <f t="shared" si="13"/>
        <v>0.51404345521992578</v>
      </c>
    </row>
    <row r="79" spans="1:29" s="152" customFormat="1" ht="13.5" customHeight="1">
      <c r="A79" s="461"/>
      <c r="B79" s="62" t="s">
        <v>36</v>
      </c>
      <c r="C79" s="3">
        <v>908103</v>
      </c>
      <c r="D79" s="9">
        <v>0.20499999999999999</v>
      </c>
      <c r="E79" s="178"/>
      <c r="F79" s="5">
        <v>8130</v>
      </c>
      <c r="G79" s="9">
        <f t="shared" si="10"/>
        <v>7.0159273397393696E-2</v>
      </c>
      <c r="H79" s="7">
        <v>64648</v>
      </c>
      <c r="I79" s="37">
        <f t="shared" si="11"/>
        <v>0.50030169412856806</v>
      </c>
      <c r="J79" s="3">
        <v>4</v>
      </c>
      <c r="K79" s="9">
        <f t="shared" si="12"/>
        <v>-0.87878787878787878</v>
      </c>
      <c r="L79" s="5">
        <v>502</v>
      </c>
      <c r="M79" s="9">
        <f t="shared" si="16"/>
        <v>-0.30083565459610029</v>
      </c>
      <c r="N79" s="98">
        <v>760</v>
      </c>
      <c r="O79" s="9">
        <f t="shared" si="14"/>
        <v>0.13432835820895517</v>
      </c>
      <c r="P79" s="98">
        <v>249</v>
      </c>
      <c r="Q79" s="9">
        <f t="shared" si="15"/>
        <v>0.31746031746031744</v>
      </c>
      <c r="R79" s="3"/>
      <c r="S79" s="9"/>
      <c r="T79" s="3">
        <v>263</v>
      </c>
      <c r="U79" s="9">
        <f t="shared" si="5"/>
        <v>1.5288461538461537</v>
      </c>
      <c r="V79" s="412"/>
      <c r="W79" s="422"/>
      <c r="X79" s="3"/>
      <c r="Y79" s="9"/>
      <c r="Z79" s="3">
        <v>41</v>
      </c>
      <c r="AA79" s="9"/>
      <c r="AB79" s="3">
        <v>2539</v>
      </c>
      <c r="AC79" s="9">
        <f t="shared" si="13"/>
        <v>0.27140711066599899</v>
      </c>
    </row>
    <row r="80" spans="1:29" s="152" customFormat="1" ht="13.5" customHeight="1">
      <c r="A80" s="461"/>
      <c r="B80" s="62" t="s">
        <v>45</v>
      </c>
      <c r="C80" s="3">
        <v>950185</v>
      </c>
      <c r="D80" s="9">
        <v>0.35299999999999998</v>
      </c>
      <c r="E80" s="178"/>
      <c r="F80" s="5">
        <v>9674</v>
      </c>
      <c r="G80" s="9">
        <f t="shared" si="10"/>
        <v>2.2189349112426093E-2</v>
      </c>
      <c r="H80" s="7">
        <v>68094</v>
      </c>
      <c r="I80" s="37">
        <f t="shared" si="11"/>
        <v>0.45845916597057124</v>
      </c>
      <c r="J80" s="3">
        <v>12</v>
      </c>
      <c r="K80" s="9">
        <f t="shared" si="12"/>
        <v>-0.47826086956521741</v>
      </c>
      <c r="L80" s="5">
        <v>586</v>
      </c>
      <c r="M80" s="9">
        <f t="shared" si="16"/>
        <v>-0.26841448189762795</v>
      </c>
      <c r="N80" s="98">
        <v>603</v>
      </c>
      <c r="O80" s="9">
        <f t="shared" si="14"/>
        <v>1.5151515151515138E-2</v>
      </c>
      <c r="P80" s="98">
        <v>276</v>
      </c>
      <c r="Q80" s="9">
        <f t="shared" si="15"/>
        <v>0.27777777777777768</v>
      </c>
      <c r="R80" s="3"/>
      <c r="S80" s="9"/>
      <c r="T80" s="3">
        <v>221</v>
      </c>
      <c r="U80" s="9">
        <f t="shared" si="5"/>
        <v>0.2628571428571429</v>
      </c>
      <c r="V80" s="412"/>
      <c r="W80" s="422"/>
      <c r="X80" s="3"/>
      <c r="Y80" s="9"/>
      <c r="Z80" s="3">
        <v>40</v>
      </c>
      <c r="AA80" s="9"/>
      <c r="AB80" s="3">
        <v>2518</v>
      </c>
      <c r="AC80" s="9">
        <f t="shared" si="13"/>
        <v>0.14819881440948479</v>
      </c>
    </row>
    <row r="81" spans="1:29" s="152" customFormat="1" ht="13.5" customHeight="1">
      <c r="A81" s="461"/>
      <c r="B81" s="62" t="s">
        <v>46</v>
      </c>
      <c r="C81" s="3">
        <v>935904</v>
      </c>
      <c r="D81" s="9">
        <v>0.27400000000000002</v>
      </c>
      <c r="E81" s="178"/>
      <c r="F81" s="5">
        <v>10247</v>
      </c>
      <c r="G81" s="9">
        <f t="shared" si="10"/>
        <v>0.16988240666742782</v>
      </c>
      <c r="H81" s="7">
        <v>70945</v>
      </c>
      <c r="I81" s="37">
        <f t="shared" si="11"/>
        <v>0.48862730286625533</v>
      </c>
      <c r="J81" s="3">
        <v>26</v>
      </c>
      <c r="K81" s="9">
        <f t="shared" si="12"/>
        <v>1.3636363636363638</v>
      </c>
      <c r="L81" s="68">
        <v>771</v>
      </c>
      <c r="M81" s="9">
        <f t="shared" si="16"/>
        <v>-0.21566632756866733</v>
      </c>
      <c r="N81" s="98">
        <v>501</v>
      </c>
      <c r="O81" s="9">
        <f t="shared" si="14"/>
        <v>-1.3779527559055094E-2</v>
      </c>
      <c r="P81" s="98">
        <v>246</v>
      </c>
      <c r="Q81" s="9">
        <f t="shared" si="15"/>
        <v>8.3700440528634346E-2</v>
      </c>
      <c r="R81" s="3"/>
      <c r="S81" s="9"/>
      <c r="T81" s="3">
        <v>164</v>
      </c>
      <c r="U81" s="9">
        <f t="shared" si="5"/>
        <v>-6.8181818181818232E-2</v>
      </c>
      <c r="V81" s="412"/>
      <c r="W81" s="422"/>
      <c r="X81" s="3"/>
      <c r="Y81" s="9"/>
      <c r="Z81" s="3">
        <v>40</v>
      </c>
      <c r="AA81" s="9"/>
      <c r="AB81" s="3">
        <v>2168</v>
      </c>
      <c r="AC81" s="9">
        <f t="shared" si="13"/>
        <v>0.29278473464519972</v>
      </c>
    </row>
    <row r="82" spans="1:29" s="152" customFormat="1" ht="13.5" customHeight="1">
      <c r="A82" s="461"/>
      <c r="B82" s="62" t="s">
        <v>47</v>
      </c>
      <c r="C82" s="3">
        <v>1023815</v>
      </c>
      <c r="D82" s="9">
        <v>0.38800000000000001</v>
      </c>
      <c r="E82" s="178"/>
      <c r="F82" s="5">
        <v>14578</v>
      </c>
      <c r="G82" s="9">
        <f t="shared" si="10"/>
        <v>0.31594150568694701</v>
      </c>
      <c r="H82" s="7">
        <v>94332</v>
      </c>
      <c r="I82" s="37">
        <f t="shared" si="11"/>
        <v>0.72592213114754101</v>
      </c>
      <c r="J82" s="3">
        <v>23</v>
      </c>
      <c r="K82" s="9">
        <f t="shared" si="12"/>
        <v>-0.25806451612903225</v>
      </c>
      <c r="L82" s="5">
        <v>584</v>
      </c>
      <c r="M82" s="9">
        <f t="shared" si="16"/>
        <v>-0.14494875549048314</v>
      </c>
      <c r="N82" s="98">
        <v>433</v>
      </c>
      <c r="O82" s="9">
        <f t="shared" si="14"/>
        <v>-6.8807339449541427E-3</v>
      </c>
      <c r="P82" s="98">
        <v>230</v>
      </c>
      <c r="Q82" s="9">
        <f t="shared" si="15"/>
        <v>0.14999999999999991</v>
      </c>
      <c r="R82" s="3"/>
      <c r="S82" s="9"/>
      <c r="T82" s="3">
        <v>222</v>
      </c>
      <c r="U82" s="9">
        <f t="shared" si="5"/>
        <v>0.35365853658536595</v>
      </c>
      <c r="V82" s="412"/>
      <c r="W82" s="422"/>
      <c r="X82" s="3"/>
      <c r="Y82" s="9"/>
      <c r="Z82" s="3">
        <v>64</v>
      </c>
      <c r="AA82" s="9"/>
      <c r="AB82" s="3">
        <v>2394</v>
      </c>
      <c r="AC82" s="9">
        <f t="shared" si="13"/>
        <v>0.52290076335877855</v>
      </c>
    </row>
    <row r="83" spans="1:29" s="152" customFormat="1" ht="13.5" customHeight="1">
      <c r="A83" s="461"/>
      <c r="B83" s="62" t="s">
        <v>48</v>
      </c>
      <c r="C83" s="3">
        <v>997597</v>
      </c>
      <c r="D83" s="9">
        <v>0.36399999999999999</v>
      </c>
      <c r="E83" s="178"/>
      <c r="F83" s="5">
        <v>20834</v>
      </c>
      <c r="G83" s="9">
        <f t="shared" si="10"/>
        <v>0.42464442013129111</v>
      </c>
      <c r="H83" s="7">
        <v>101045</v>
      </c>
      <c r="I83" s="37">
        <f t="shared" si="11"/>
        <v>0.59108444738375288</v>
      </c>
      <c r="J83" s="3">
        <v>40</v>
      </c>
      <c r="K83" s="9">
        <f t="shared" si="12"/>
        <v>1</v>
      </c>
      <c r="L83" s="68">
        <v>652</v>
      </c>
      <c r="M83" s="9">
        <f t="shared" si="16"/>
        <v>-6.7238912732474954E-2</v>
      </c>
      <c r="N83" s="98">
        <v>382</v>
      </c>
      <c r="O83" s="9">
        <f t="shared" si="14"/>
        <v>0</v>
      </c>
      <c r="P83" s="98">
        <v>299</v>
      </c>
      <c r="Q83" s="9">
        <f t="shared" si="15"/>
        <v>0.61621621621621614</v>
      </c>
      <c r="R83" s="3"/>
      <c r="S83" s="9"/>
      <c r="T83" s="3">
        <v>217</v>
      </c>
      <c r="U83" s="9">
        <f t="shared" ref="U83:U133" si="17">(T83/T71-1)</f>
        <v>0.10152284263959399</v>
      </c>
      <c r="V83" s="412"/>
      <c r="W83" s="422"/>
      <c r="X83" s="3"/>
      <c r="Y83" s="9"/>
      <c r="Z83" s="3">
        <v>49</v>
      </c>
      <c r="AA83" s="9"/>
      <c r="AB83" s="3">
        <v>2325</v>
      </c>
      <c r="AC83" s="9">
        <f t="shared" si="13"/>
        <v>0.28880266075388028</v>
      </c>
    </row>
    <row r="84" spans="1:29" s="152" customFormat="1" ht="13.5" customHeight="1">
      <c r="A84" s="461"/>
      <c r="B84" s="62" t="s">
        <v>51</v>
      </c>
      <c r="C84" s="3">
        <v>1223723</v>
      </c>
      <c r="D84" s="9">
        <v>0.22800000000000001</v>
      </c>
      <c r="E84" s="178"/>
      <c r="F84" s="5">
        <v>25800</v>
      </c>
      <c r="G84" s="9">
        <f t="shared" si="10"/>
        <v>0.17840504247739108</v>
      </c>
      <c r="H84" s="7">
        <v>128711</v>
      </c>
      <c r="I84" s="37">
        <f t="shared" si="11"/>
        <v>0.43889950922851617</v>
      </c>
      <c r="J84" s="3">
        <v>16</v>
      </c>
      <c r="K84" s="9">
        <f t="shared" si="12"/>
        <v>-0.40740740740740744</v>
      </c>
      <c r="L84" s="68">
        <v>879</v>
      </c>
      <c r="M84" s="9">
        <f t="shared" si="16"/>
        <v>0.34403669724770647</v>
      </c>
      <c r="N84" s="98">
        <v>248</v>
      </c>
      <c r="O84" s="9">
        <f t="shared" si="14"/>
        <v>-0.43378995433789957</v>
      </c>
      <c r="P84" s="98">
        <v>273</v>
      </c>
      <c r="Q84" s="9">
        <f t="shared" si="15"/>
        <v>7.3800738007379074E-3</v>
      </c>
      <c r="R84" s="3"/>
      <c r="S84" s="9"/>
      <c r="T84" s="3">
        <v>279</v>
      </c>
      <c r="U84" s="9">
        <f t="shared" si="17"/>
        <v>0.47619047619047628</v>
      </c>
      <c r="V84" s="412"/>
      <c r="W84" s="422"/>
      <c r="X84" s="3"/>
      <c r="Y84" s="9"/>
      <c r="Z84" s="3">
        <v>54</v>
      </c>
      <c r="AA84" s="9"/>
      <c r="AB84" s="3">
        <v>2608</v>
      </c>
      <c r="AC84" s="9">
        <f t="shared" si="13"/>
        <v>0.24844423168980367</v>
      </c>
    </row>
    <row r="85" spans="1:29" s="152" customFormat="1" ht="13.5" customHeight="1">
      <c r="A85" s="461"/>
      <c r="B85" s="62" t="s">
        <v>52</v>
      </c>
      <c r="C85" s="3">
        <v>1235742</v>
      </c>
      <c r="D85" s="9">
        <v>0.186</v>
      </c>
      <c r="E85" s="178"/>
      <c r="F85" s="5">
        <v>20226</v>
      </c>
      <c r="G85" s="9">
        <f t="shared" si="10"/>
        <v>0.27866986976861807</v>
      </c>
      <c r="H85" s="7">
        <v>119191</v>
      </c>
      <c r="I85" s="37">
        <f t="shared" si="11"/>
        <v>0.34301231563172552</v>
      </c>
      <c r="J85" s="3">
        <v>102</v>
      </c>
      <c r="K85" s="9">
        <f t="shared" si="12"/>
        <v>4.666666666666667</v>
      </c>
      <c r="L85" s="68">
        <v>914</v>
      </c>
      <c r="M85" s="9">
        <f t="shared" si="16"/>
        <v>-4.4932079414838011E-2</v>
      </c>
      <c r="N85" s="98">
        <v>252</v>
      </c>
      <c r="O85" s="9">
        <f t="shared" si="14"/>
        <v>-0.40845070422535212</v>
      </c>
      <c r="P85" s="98">
        <v>312</v>
      </c>
      <c r="Q85" s="9">
        <f t="shared" si="15"/>
        <v>0.16417910447761197</v>
      </c>
      <c r="R85" s="3"/>
      <c r="S85" s="9"/>
      <c r="T85" s="3">
        <v>207</v>
      </c>
      <c r="U85" s="9">
        <f t="shared" si="17"/>
        <v>-4.8076923076922906E-3</v>
      </c>
      <c r="V85" s="412"/>
      <c r="W85" s="422"/>
      <c r="X85" s="3"/>
      <c r="Y85" s="9"/>
      <c r="Z85" s="3">
        <v>48</v>
      </c>
      <c r="AA85" s="9"/>
      <c r="AB85" s="3">
        <v>3134</v>
      </c>
      <c r="AC85" s="9">
        <f t="shared" si="13"/>
        <v>0.45025451180009246</v>
      </c>
    </row>
    <row r="86" spans="1:29" s="152" customFormat="1" ht="13.5" customHeight="1">
      <c r="A86" s="461"/>
      <c r="B86" s="62" t="s">
        <v>53</v>
      </c>
      <c r="C86" s="3">
        <v>1013123</v>
      </c>
      <c r="D86" s="9">
        <v>0.53900000000000003</v>
      </c>
      <c r="E86" s="178"/>
      <c r="F86" s="5">
        <v>14509</v>
      </c>
      <c r="G86" s="9">
        <f t="shared" si="10"/>
        <v>0.14886372634412859</v>
      </c>
      <c r="H86" s="7">
        <v>97350</v>
      </c>
      <c r="I86" s="37">
        <f t="shared" si="11"/>
        <v>0.73384152314460249</v>
      </c>
      <c r="J86" s="3">
        <v>15</v>
      </c>
      <c r="K86" s="9">
        <f t="shared" si="12"/>
        <v>-0.5161290322580645</v>
      </c>
      <c r="L86" s="5">
        <v>621</v>
      </c>
      <c r="M86" s="9">
        <f t="shared" si="16"/>
        <v>-0.15739484396200809</v>
      </c>
      <c r="N86" s="98">
        <v>182</v>
      </c>
      <c r="O86" s="9">
        <f t="shared" si="14"/>
        <v>-0.57772621809744784</v>
      </c>
      <c r="P86" s="98">
        <v>197</v>
      </c>
      <c r="Q86" s="9">
        <f t="shared" si="15"/>
        <v>0.13218390804597702</v>
      </c>
      <c r="R86" s="3"/>
      <c r="S86" s="9"/>
      <c r="T86" s="3">
        <v>141</v>
      </c>
      <c r="U86" s="9">
        <f t="shared" si="17"/>
        <v>5.2238805970149294E-2</v>
      </c>
      <c r="V86" s="412"/>
      <c r="W86" s="422"/>
      <c r="X86" s="3"/>
      <c r="Y86" s="9"/>
      <c r="Z86" s="3">
        <v>46</v>
      </c>
      <c r="AA86" s="9"/>
      <c r="AB86" s="3">
        <v>2301</v>
      </c>
      <c r="AC86" s="9">
        <f t="shared" si="13"/>
        <v>9.3111638954869402E-2</v>
      </c>
    </row>
    <row r="87" spans="1:29" s="152" customFormat="1" ht="13.5" customHeight="1">
      <c r="A87" s="461"/>
      <c r="B87" s="62" t="s">
        <v>54</v>
      </c>
      <c r="C87" s="3">
        <v>1055581</v>
      </c>
      <c r="D87" s="9">
        <v>0.47699999999999998</v>
      </c>
      <c r="E87" s="178"/>
      <c r="F87" s="5">
        <v>12002</v>
      </c>
      <c r="G87" s="9">
        <v>0.21099999999999999</v>
      </c>
      <c r="H87" s="7">
        <v>91134</v>
      </c>
      <c r="I87" s="37">
        <v>0.71399999999999997</v>
      </c>
      <c r="J87" s="3">
        <v>37</v>
      </c>
      <c r="K87" s="9">
        <v>0.71399999999999997</v>
      </c>
      <c r="L87" s="68">
        <v>756</v>
      </c>
      <c r="M87" s="9">
        <v>0.71399999999999997</v>
      </c>
      <c r="N87" s="98">
        <v>284</v>
      </c>
      <c r="O87" s="9">
        <f t="shared" si="14"/>
        <v>-0.4538461538461539</v>
      </c>
      <c r="P87" s="98">
        <v>218</v>
      </c>
      <c r="Q87" s="9">
        <f t="shared" si="15"/>
        <v>-5.6277056277056259E-2</v>
      </c>
      <c r="R87" s="3"/>
      <c r="S87" s="9"/>
      <c r="T87" s="3">
        <v>103</v>
      </c>
      <c r="U87" s="9">
        <f t="shared" si="17"/>
        <v>-0.26428571428571423</v>
      </c>
      <c r="V87" s="412"/>
      <c r="W87" s="422"/>
      <c r="X87" s="3"/>
      <c r="Y87" s="9"/>
      <c r="Z87" s="3">
        <v>54</v>
      </c>
      <c r="AA87" s="9"/>
      <c r="AB87" s="3">
        <v>2459</v>
      </c>
      <c r="AC87" s="9">
        <v>0.71399999999999997</v>
      </c>
    </row>
    <row r="88" spans="1:29" s="152" customFormat="1" ht="13.5" customHeight="1">
      <c r="A88" s="461"/>
      <c r="B88" s="62" t="s">
        <v>60</v>
      </c>
      <c r="C88" s="3">
        <v>1004902</v>
      </c>
      <c r="D88" s="9">
        <v>0.39200000000000002</v>
      </c>
      <c r="E88" s="178"/>
      <c r="F88" s="5">
        <v>6994</v>
      </c>
      <c r="G88" s="9">
        <v>0.13500000000000001</v>
      </c>
      <c r="H88" s="7">
        <v>80737</v>
      </c>
      <c r="I88" s="37">
        <v>0.624</v>
      </c>
      <c r="J88" s="3">
        <v>56</v>
      </c>
      <c r="K88" s="9">
        <v>0.624</v>
      </c>
      <c r="L88" s="68">
        <v>793</v>
      </c>
      <c r="M88" s="9">
        <v>0.624</v>
      </c>
      <c r="N88" s="98">
        <v>634</v>
      </c>
      <c r="O88" s="9">
        <f t="shared" si="14"/>
        <v>0.24070450097847362</v>
      </c>
      <c r="P88" s="98">
        <v>271</v>
      </c>
      <c r="Q88" s="9">
        <f t="shared" si="15"/>
        <v>0.41145833333333326</v>
      </c>
      <c r="R88" s="3"/>
      <c r="S88" s="9"/>
      <c r="T88" s="3">
        <v>152</v>
      </c>
      <c r="U88" s="9">
        <f t="shared" si="17"/>
        <v>-8.4337349397590411E-2</v>
      </c>
      <c r="V88" s="412"/>
      <c r="W88" s="422"/>
      <c r="X88" s="3"/>
      <c r="Y88" s="9"/>
      <c r="Z88" s="3">
        <v>30</v>
      </c>
      <c r="AA88" s="9"/>
      <c r="AB88" s="3">
        <v>2868</v>
      </c>
      <c r="AC88" s="9">
        <v>0.624</v>
      </c>
    </row>
    <row r="89" spans="1:29" s="152" customFormat="1" ht="13.5" customHeight="1">
      <c r="A89" s="462"/>
      <c r="B89" s="41" t="s">
        <v>55</v>
      </c>
      <c r="C89" s="3">
        <v>1021428</v>
      </c>
      <c r="D89" s="9">
        <v>0.14899999999999999</v>
      </c>
      <c r="E89" s="178"/>
      <c r="F89" s="5">
        <v>11251</v>
      </c>
      <c r="G89" s="19">
        <v>0.114</v>
      </c>
      <c r="H89" s="53">
        <v>92702</v>
      </c>
      <c r="I89" s="45">
        <v>0.151</v>
      </c>
      <c r="J89" s="5">
        <v>22</v>
      </c>
      <c r="K89" s="19">
        <v>0.151</v>
      </c>
      <c r="L89" s="68">
        <v>877</v>
      </c>
      <c r="M89" s="19">
        <v>0.151</v>
      </c>
      <c r="N89" s="100">
        <v>940</v>
      </c>
      <c r="O89" s="9">
        <f t="shared" si="14"/>
        <v>0.24338624338624348</v>
      </c>
      <c r="P89" s="100">
        <v>325</v>
      </c>
      <c r="Q89" s="9">
        <f t="shared" si="15"/>
        <v>4.5016077170418001E-2</v>
      </c>
      <c r="R89" s="5"/>
      <c r="S89" s="9"/>
      <c r="T89" s="5">
        <v>211</v>
      </c>
      <c r="U89" s="9">
        <f t="shared" si="17"/>
        <v>0.54014598540145986</v>
      </c>
      <c r="V89" s="413"/>
      <c r="W89" s="423"/>
      <c r="X89" s="5"/>
      <c r="Y89" s="19"/>
      <c r="Z89" s="5">
        <v>33</v>
      </c>
      <c r="AA89" s="19"/>
      <c r="AB89" s="5">
        <v>2688</v>
      </c>
      <c r="AC89" s="19">
        <v>0.151</v>
      </c>
    </row>
    <row r="90" spans="1:29" s="152" customFormat="1" ht="13.5" customHeight="1">
      <c r="A90" s="457" t="s">
        <v>62</v>
      </c>
      <c r="B90" s="2" t="s">
        <v>35</v>
      </c>
      <c r="C90" s="25">
        <v>1268007</v>
      </c>
      <c r="D90" s="24">
        <v>0.13400000000000001</v>
      </c>
      <c r="E90" s="178"/>
      <c r="F90" s="25">
        <v>10943</v>
      </c>
      <c r="G90" s="9">
        <f>F90/F78-1</f>
        <v>9.0591987243372474E-2</v>
      </c>
      <c r="H90" s="56">
        <v>117021</v>
      </c>
      <c r="I90" s="37">
        <f>(H90/H78-1)</f>
        <v>0.18647659410518203</v>
      </c>
      <c r="J90" s="25">
        <v>47</v>
      </c>
      <c r="K90" s="9">
        <f>(J90/J78-1)</f>
        <v>1.1363636363636362</v>
      </c>
      <c r="L90" s="25">
        <v>1077</v>
      </c>
      <c r="M90" s="9">
        <f>(L90/L78-1)</f>
        <v>0.23085714285714287</v>
      </c>
      <c r="N90" s="142">
        <v>1402</v>
      </c>
      <c r="O90" s="24">
        <f t="shared" si="14"/>
        <v>6.051437216338873E-2</v>
      </c>
      <c r="P90" s="142">
        <v>341</v>
      </c>
      <c r="Q90" s="24">
        <f t="shared" si="15"/>
        <v>2.9411764705882248E-3</v>
      </c>
      <c r="R90" s="25"/>
      <c r="S90" s="24"/>
      <c r="T90" s="25">
        <v>158</v>
      </c>
      <c r="U90" s="24">
        <f t="shared" si="17"/>
        <v>-0.45138888888888884</v>
      </c>
      <c r="V90" s="411">
        <v>9680</v>
      </c>
      <c r="W90" s="421">
        <f>(V90/V78-1)</f>
        <v>0.23927794136474212</v>
      </c>
      <c r="X90" s="25"/>
      <c r="Y90" s="9"/>
      <c r="Z90" s="25">
        <v>28</v>
      </c>
      <c r="AA90" s="9">
        <f>(Z90/Z78-1)</f>
        <v>-0.43999999999999995</v>
      </c>
      <c r="AB90" s="25">
        <v>4117</v>
      </c>
      <c r="AC90" s="9">
        <f>(AB90/AB78-1)</f>
        <v>0.4410220511025551</v>
      </c>
    </row>
    <row r="91" spans="1:29" s="152" customFormat="1" ht="13.5" customHeight="1">
      <c r="A91" s="461"/>
      <c r="B91" s="15" t="s">
        <v>36</v>
      </c>
      <c r="C91" s="5">
        <v>1091628</v>
      </c>
      <c r="D91" s="9">
        <f t="shared" ref="D91:D116" si="18">(C91-C79)/C79</f>
        <v>0.20209711893915117</v>
      </c>
      <c r="E91" s="178"/>
      <c r="F91" s="5">
        <v>7717</v>
      </c>
      <c r="G91" s="9">
        <f>F91/F79-1</f>
        <v>-5.0799507995079929E-2</v>
      </c>
      <c r="H91" s="53">
        <v>79734</v>
      </c>
      <c r="I91" s="37">
        <f>(H91/H79-1)</f>
        <v>0.23335602029451796</v>
      </c>
      <c r="J91" s="5">
        <v>31</v>
      </c>
      <c r="K91" s="9">
        <f>(J91/J79-1)</f>
        <v>6.75</v>
      </c>
      <c r="L91" s="5">
        <v>634</v>
      </c>
      <c r="M91" s="9">
        <f>(L91/L79-1)</f>
        <v>0.26294820717131473</v>
      </c>
      <c r="N91" s="100">
        <v>873</v>
      </c>
      <c r="O91" s="9">
        <f t="shared" si="14"/>
        <v>0.14868421052631575</v>
      </c>
      <c r="P91" s="100">
        <v>240</v>
      </c>
      <c r="Q91" s="9">
        <f t="shared" si="15"/>
        <v>-3.6144578313253017E-2</v>
      </c>
      <c r="R91" s="5"/>
      <c r="S91" s="9"/>
      <c r="T91" s="5">
        <v>155</v>
      </c>
      <c r="U91" s="9">
        <f t="shared" si="17"/>
        <v>-0.41064638783269958</v>
      </c>
      <c r="V91" s="412"/>
      <c r="W91" s="422"/>
      <c r="X91" s="5"/>
      <c r="Y91" s="9"/>
      <c r="Z91" s="5">
        <v>23</v>
      </c>
      <c r="AA91" s="9">
        <f>(Z91/Z79-1)</f>
        <v>-0.43902439024390238</v>
      </c>
      <c r="AB91" s="5">
        <v>4239</v>
      </c>
      <c r="AC91" s="9">
        <f>(AB91/AB79-1)</f>
        <v>0.66955494289090201</v>
      </c>
    </row>
    <row r="92" spans="1:29" s="152" customFormat="1" ht="13.5" customHeight="1">
      <c r="A92" s="461"/>
      <c r="B92" s="15" t="s">
        <v>21</v>
      </c>
      <c r="C92" s="5">
        <v>868694</v>
      </c>
      <c r="D92" s="9">
        <f t="shared" si="18"/>
        <v>-8.5763298726037565E-2</v>
      </c>
      <c r="E92" s="178"/>
      <c r="F92" s="5">
        <v>8006</v>
      </c>
      <c r="G92" s="9">
        <f>F92/F80-1</f>
        <v>-0.17242092205912751</v>
      </c>
      <c r="H92" s="53">
        <v>70088</v>
      </c>
      <c r="I92" s="37">
        <v>2.9000000000000001E-2</v>
      </c>
      <c r="J92" s="5">
        <v>28</v>
      </c>
      <c r="K92" s="9">
        <v>2.9000000000000001E-2</v>
      </c>
      <c r="L92" s="5">
        <v>570</v>
      </c>
      <c r="M92" s="9">
        <v>2.9000000000000001E-2</v>
      </c>
      <c r="N92" s="100">
        <v>1373</v>
      </c>
      <c r="O92" s="9">
        <f t="shared" si="14"/>
        <v>1.2769485903814264</v>
      </c>
      <c r="P92" s="100">
        <v>300</v>
      </c>
      <c r="Q92" s="9">
        <f t="shared" si="15"/>
        <v>8.6956521739130377E-2</v>
      </c>
      <c r="R92" s="5"/>
      <c r="S92" s="9"/>
      <c r="T92" s="5">
        <v>223</v>
      </c>
      <c r="U92" s="9">
        <f t="shared" si="17"/>
        <v>9.0497737556560764E-3</v>
      </c>
      <c r="V92" s="412"/>
      <c r="W92" s="422"/>
      <c r="X92" s="5"/>
      <c r="Y92" s="9"/>
      <c r="Z92" s="5">
        <v>44</v>
      </c>
      <c r="AA92" s="9">
        <v>2.9000000000000001E-2</v>
      </c>
      <c r="AB92" s="5">
        <v>3613</v>
      </c>
      <c r="AC92" s="9">
        <v>2.9000000000000001E-2</v>
      </c>
    </row>
    <row r="93" spans="1:29" s="152" customFormat="1" ht="13.5" customHeight="1">
      <c r="A93" s="461"/>
      <c r="B93" s="15" t="s">
        <v>22</v>
      </c>
      <c r="C93" s="5">
        <v>867487</v>
      </c>
      <c r="D93" s="9">
        <f t="shared" si="18"/>
        <v>-7.310258317092351E-2</v>
      </c>
      <c r="E93" s="178"/>
      <c r="F93" s="5">
        <v>9485</v>
      </c>
      <c r="G93" s="9">
        <f t="shared" ref="G93:G101" si="19">(F93/F81-1)</f>
        <v>-7.4363228261930314E-2</v>
      </c>
      <c r="H93" s="53">
        <v>69927</v>
      </c>
      <c r="I93" s="37">
        <f t="shared" ref="I93:I119" si="20">(H93/H81-1)</f>
        <v>-1.4349143702868439E-2</v>
      </c>
      <c r="J93" s="5">
        <v>30</v>
      </c>
      <c r="K93" s="9">
        <f t="shared" ref="K93:K113" si="21">(J93/J81-1)</f>
        <v>0.15384615384615374</v>
      </c>
      <c r="L93" s="68">
        <v>694</v>
      </c>
      <c r="M93" s="9">
        <f t="shared" ref="M93:M113" si="22">(L93/L81-1)</f>
        <v>-9.9870298313878059E-2</v>
      </c>
      <c r="N93" s="100">
        <v>716</v>
      </c>
      <c r="O93" s="9">
        <f t="shared" si="14"/>
        <v>0.42914171656686628</v>
      </c>
      <c r="P93" s="100">
        <v>298</v>
      </c>
      <c r="Q93" s="9">
        <f t="shared" si="15"/>
        <v>0.21138211382113825</v>
      </c>
      <c r="R93" s="5"/>
      <c r="S93" s="9"/>
      <c r="T93" s="5">
        <v>153</v>
      </c>
      <c r="U93" s="9">
        <f t="shared" si="17"/>
        <v>-6.7073170731707266E-2</v>
      </c>
      <c r="V93" s="412"/>
      <c r="W93" s="422"/>
      <c r="X93" s="5"/>
      <c r="Y93" s="9"/>
      <c r="Z93" s="5">
        <v>37</v>
      </c>
      <c r="AA93" s="9">
        <f t="shared" ref="AA93:AA125" si="23">(Z93/Z81-1)</f>
        <v>-7.4999999999999956E-2</v>
      </c>
      <c r="AB93" s="5">
        <v>3348</v>
      </c>
      <c r="AC93" s="9">
        <f t="shared" ref="AC93:AC113" si="24">(AB93/AB81-1)</f>
        <v>0.54428044280442811</v>
      </c>
    </row>
    <row r="94" spans="1:29" s="152" customFormat="1" ht="13.5" customHeight="1">
      <c r="A94" s="461"/>
      <c r="B94" s="15" t="s">
        <v>23</v>
      </c>
      <c r="C94" s="5">
        <v>1014409</v>
      </c>
      <c r="D94" s="9">
        <f t="shared" si="18"/>
        <v>-9.1872066730805859E-3</v>
      </c>
      <c r="E94" s="178"/>
      <c r="F94" s="5">
        <v>13909</v>
      </c>
      <c r="G94" s="9">
        <f t="shared" si="19"/>
        <v>-4.5891068733708296E-2</v>
      </c>
      <c r="H94" s="53">
        <v>96196</v>
      </c>
      <c r="I94" s="37">
        <f t="shared" si="20"/>
        <v>1.9759996607725983E-2</v>
      </c>
      <c r="J94" s="5">
        <v>46</v>
      </c>
      <c r="K94" s="9">
        <f t="shared" si="21"/>
        <v>1</v>
      </c>
      <c r="L94" s="5">
        <v>554</v>
      </c>
      <c r="M94" s="9">
        <f t="shared" si="22"/>
        <v>-5.1369863013698613E-2</v>
      </c>
      <c r="N94" s="100">
        <v>652</v>
      </c>
      <c r="O94" s="9">
        <f t="shared" si="14"/>
        <v>0.50577367205542734</v>
      </c>
      <c r="P94" s="100">
        <v>254</v>
      </c>
      <c r="Q94" s="9">
        <f t="shared" si="15"/>
        <v>0.10434782608695659</v>
      </c>
      <c r="R94" s="5"/>
      <c r="S94" s="9"/>
      <c r="T94" s="5">
        <v>202</v>
      </c>
      <c r="U94" s="9">
        <f t="shared" si="17"/>
        <v>-9.0090090090090058E-2</v>
      </c>
      <c r="V94" s="412"/>
      <c r="W94" s="422"/>
      <c r="X94" s="5"/>
      <c r="Y94" s="9"/>
      <c r="Z94" s="5">
        <v>41</v>
      </c>
      <c r="AA94" s="9">
        <f t="shared" si="23"/>
        <v>-0.359375</v>
      </c>
      <c r="AB94" s="5">
        <v>4126</v>
      </c>
      <c r="AC94" s="9">
        <f t="shared" si="24"/>
        <v>0.72347535505430249</v>
      </c>
    </row>
    <row r="95" spans="1:29" s="152" customFormat="1" ht="13.5" customHeight="1">
      <c r="A95" s="461"/>
      <c r="B95" s="15" t="s">
        <v>24</v>
      </c>
      <c r="C95" s="5">
        <v>1053658</v>
      </c>
      <c r="D95" s="9">
        <f t="shared" si="18"/>
        <v>5.619603908191384E-2</v>
      </c>
      <c r="E95" s="178"/>
      <c r="F95" s="5">
        <v>18401</v>
      </c>
      <c r="G95" s="9">
        <f t="shared" si="19"/>
        <v>-0.11678026303158295</v>
      </c>
      <c r="H95" s="53">
        <v>104739</v>
      </c>
      <c r="I95" s="37">
        <f t="shared" si="20"/>
        <v>3.6557969221634012E-2</v>
      </c>
      <c r="J95" s="5">
        <v>28</v>
      </c>
      <c r="K95" s="9">
        <f t="shared" si="21"/>
        <v>-0.30000000000000004</v>
      </c>
      <c r="L95" s="68">
        <v>676</v>
      </c>
      <c r="M95" s="9">
        <f t="shared" si="22"/>
        <v>3.6809815950920255E-2</v>
      </c>
      <c r="N95" s="100">
        <v>550</v>
      </c>
      <c r="O95" s="9">
        <f t="shared" si="14"/>
        <v>0.43979057591623039</v>
      </c>
      <c r="P95" s="100">
        <v>360</v>
      </c>
      <c r="Q95" s="9">
        <f t="shared" si="15"/>
        <v>0.20401337792642149</v>
      </c>
      <c r="R95" s="5"/>
      <c r="S95" s="9"/>
      <c r="T95" s="5">
        <v>252</v>
      </c>
      <c r="U95" s="9">
        <f t="shared" si="17"/>
        <v>0.16129032258064524</v>
      </c>
      <c r="V95" s="412"/>
      <c r="W95" s="422"/>
      <c r="X95" s="5"/>
      <c r="Y95" s="9"/>
      <c r="Z95" s="5">
        <v>35</v>
      </c>
      <c r="AA95" s="9">
        <f t="shared" si="23"/>
        <v>-0.2857142857142857</v>
      </c>
      <c r="AB95" s="5">
        <v>3443</v>
      </c>
      <c r="AC95" s="9">
        <f t="shared" si="24"/>
        <v>0.48086021505376353</v>
      </c>
    </row>
    <row r="96" spans="1:29" s="152" customFormat="1" ht="13.5" customHeight="1">
      <c r="A96" s="461"/>
      <c r="B96" s="15" t="s">
        <v>25</v>
      </c>
      <c r="C96" s="5">
        <v>1241629</v>
      </c>
      <c r="D96" s="9">
        <f t="shared" si="18"/>
        <v>1.4632396383822155E-2</v>
      </c>
      <c r="E96" s="178"/>
      <c r="F96" s="5">
        <v>23898</v>
      </c>
      <c r="G96" s="9">
        <f t="shared" si="19"/>
        <v>-7.3720930232558102E-2</v>
      </c>
      <c r="H96" s="53">
        <v>129945</v>
      </c>
      <c r="I96" s="37">
        <f t="shared" si="20"/>
        <v>9.5873701548430112E-3</v>
      </c>
      <c r="J96" s="5">
        <v>45</v>
      </c>
      <c r="K96" s="9">
        <f t="shared" si="21"/>
        <v>1.8125</v>
      </c>
      <c r="L96" s="68">
        <v>724</v>
      </c>
      <c r="M96" s="9">
        <f t="shared" si="22"/>
        <v>-0.17633674630261664</v>
      </c>
      <c r="N96" s="100">
        <v>443</v>
      </c>
      <c r="O96" s="9">
        <f t="shared" si="14"/>
        <v>0.78629032258064524</v>
      </c>
      <c r="P96" s="100">
        <v>299</v>
      </c>
      <c r="Q96" s="9">
        <f t="shared" si="15"/>
        <v>9.5238095238095344E-2</v>
      </c>
      <c r="R96" s="5"/>
      <c r="S96" s="9"/>
      <c r="T96" s="5">
        <v>262</v>
      </c>
      <c r="U96" s="9">
        <f t="shared" si="17"/>
        <v>-6.0931899641577081E-2</v>
      </c>
      <c r="V96" s="412"/>
      <c r="W96" s="422"/>
      <c r="X96" s="5"/>
      <c r="Y96" s="9"/>
      <c r="Z96" s="5">
        <v>43</v>
      </c>
      <c r="AA96" s="9">
        <f t="shared" si="23"/>
        <v>-0.20370370370370372</v>
      </c>
      <c r="AB96" s="5">
        <v>3886</v>
      </c>
      <c r="AC96" s="9">
        <f t="shared" si="24"/>
        <v>0.49003067484662566</v>
      </c>
    </row>
    <row r="97" spans="1:29" s="152" customFormat="1" ht="13.5" customHeight="1">
      <c r="A97" s="461"/>
      <c r="B97" s="15" t="s">
        <v>26</v>
      </c>
      <c r="C97" s="5">
        <v>1247222</v>
      </c>
      <c r="D97" s="9">
        <f t="shared" si="18"/>
        <v>9.2899650574310814E-3</v>
      </c>
      <c r="E97" s="178"/>
      <c r="F97" s="5">
        <v>16707</v>
      </c>
      <c r="G97" s="9">
        <f t="shared" si="19"/>
        <v>-0.17398398101453572</v>
      </c>
      <c r="H97" s="53">
        <v>119251</v>
      </c>
      <c r="I97" s="37">
        <f t="shared" si="20"/>
        <v>5.0339371261243215E-4</v>
      </c>
      <c r="J97" s="5">
        <v>70</v>
      </c>
      <c r="K97" s="9">
        <f t="shared" si="21"/>
        <v>-0.31372549019607843</v>
      </c>
      <c r="L97" s="68">
        <v>854</v>
      </c>
      <c r="M97" s="9">
        <f t="shared" si="22"/>
        <v>-6.5645514223194756E-2</v>
      </c>
      <c r="N97" s="100">
        <v>578</v>
      </c>
      <c r="O97" s="9">
        <f t="shared" si="14"/>
        <v>1.2936507936507935</v>
      </c>
      <c r="P97" s="100">
        <v>283</v>
      </c>
      <c r="Q97" s="9">
        <f>(P97/P85-1)</f>
        <v>-9.2948717948717952E-2</v>
      </c>
      <c r="R97" s="5"/>
      <c r="S97" s="9"/>
      <c r="T97" s="5">
        <v>231</v>
      </c>
      <c r="U97" s="9">
        <f>(T97/T85-1)</f>
        <v>0.11594202898550732</v>
      </c>
      <c r="V97" s="412"/>
      <c r="W97" s="422"/>
      <c r="X97" s="5"/>
      <c r="Y97" s="9"/>
      <c r="Z97" s="5">
        <v>51</v>
      </c>
      <c r="AA97" s="9">
        <f t="shared" si="23"/>
        <v>6.25E-2</v>
      </c>
      <c r="AB97" s="5">
        <v>3818</v>
      </c>
      <c r="AC97" s="9">
        <f t="shared" si="24"/>
        <v>0.21825143586470963</v>
      </c>
    </row>
    <row r="98" spans="1:29" s="152" customFormat="1" ht="13.5" customHeight="1">
      <c r="A98" s="461"/>
      <c r="B98" s="15" t="s">
        <v>27</v>
      </c>
      <c r="C98" s="5">
        <v>1013507</v>
      </c>
      <c r="D98" s="9">
        <f t="shared" si="18"/>
        <v>3.7902604126053798E-4</v>
      </c>
      <c r="E98" s="178"/>
      <c r="F98" s="5">
        <v>14461</v>
      </c>
      <c r="G98" s="9">
        <f t="shared" si="19"/>
        <v>-3.308291405334618E-3</v>
      </c>
      <c r="H98" s="53">
        <v>90187</v>
      </c>
      <c r="I98" s="37">
        <f t="shared" si="20"/>
        <v>-7.3579866461222387E-2</v>
      </c>
      <c r="J98" s="5">
        <v>49</v>
      </c>
      <c r="K98" s="9">
        <f t="shared" si="21"/>
        <v>2.2666666666666666</v>
      </c>
      <c r="L98" s="5">
        <v>774</v>
      </c>
      <c r="M98" s="9">
        <f t="shared" si="22"/>
        <v>0.24637681159420288</v>
      </c>
      <c r="N98" s="100">
        <v>652</v>
      </c>
      <c r="O98" s="9">
        <f t="shared" ref="O98:O125" si="25">(N98/N86-1)</f>
        <v>2.5824175824175826</v>
      </c>
      <c r="P98" s="100">
        <v>181</v>
      </c>
      <c r="Q98" s="9">
        <f t="shared" si="15"/>
        <v>-8.1218274111675148E-2</v>
      </c>
      <c r="R98" s="5"/>
      <c r="S98" s="9"/>
      <c r="T98" s="5">
        <v>263</v>
      </c>
      <c r="U98" s="9">
        <f t="shared" si="17"/>
        <v>0.86524822695035453</v>
      </c>
      <c r="V98" s="412"/>
      <c r="W98" s="422"/>
      <c r="X98" s="5"/>
      <c r="Y98" s="9"/>
      <c r="Z98" s="5">
        <v>27</v>
      </c>
      <c r="AA98" s="9">
        <f t="shared" si="23"/>
        <v>-0.41304347826086951</v>
      </c>
      <c r="AB98" s="5">
        <v>3411</v>
      </c>
      <c r="AC98" s="9">
        <f t="shared" si="24"/>
        <v>0.48239895697522805</v>
      </c>
    </row>
    <row r="99" spans="1:29" s="152" customFormat="1" ht="13.5" customHeight="1">
      <c r="A99" s="461"/>
      <c r="B99" s="15" t="s">
        <v>28</v>
      </c>
      <c r="C99" s="5">
        <v>1032589</v>
      </c>
      <c r="D99" s="9">
        <f t="shared" si="18"/>
        <v>-2.178136969119376E-2</v>
      </c>
      <c r="E99" s="178"/>
      <c r="F99" s="5">
        <v>10416</v>
      </c>
      <c r="G99" s="9">
        <f t="shared" si="19"/>
        <v>-0.13214464255957337</v>
      </c>
      <c r="H99" s="53">
        <v>89544</v>
      </c>
      <c r="I99" s="37">
        <f t="shared" si="20"/>
        <v>-1.744683652643364E-2</v>
      </c>
      <c r="J99" s="5">
        <v>30</v>
      </c>
      <c r="K99" s="9">
        <f t="shared" si="21"/>
        <v>-0.18918918918918914</v>
      </c>
      <c r="L99" s="68">
        <v>1287</v>
      </c>
      <c r="M99" s="9">
        <f t="shared" si="22"/>
        <v>0.70238095238095233</v>
      </c>
      <c r="N99" s="100">
        <v>641</v>
      </c>
      <c r="O99" s="9">
        <f t="shared" si="25"/>
        <v>1.257042253521127</v>
      </c>
      <c r="P99" s="100">
        <v>185</v>
      </c>
      <c r="Q99" s="9">
        <f t="shared" si="15"/>
        <v>-0.15137614678899081</v>
      </c>
      <c r="R99" s="5"/>
      <c r="S99" s="9"/>
      <c r="T99" s="5">
        <v>202</v>
      </c>
      <c r="U99" s="9">
        <f t="shared" si="17"/>
        <v>0.96116504854368934</v>
      </c>
      <c r="V99" s="412"/>
      <c r="W99" s="422"/>
      <c r="X99" s="5"/>
      <c r="Y99" s="9"/>
      <c r="Z99" s="5">
        <v>39</v>
      </c>
      <c r="AA99" s="9">
        <f t="shared" si="23"/>
        <v>-0.27777777777777779</v>
      </c>
      <c r="AB99" s="5">
        <v>3034</v>
      </c>
      <c r="AC99" s="9">
        <f t="shared" si="24"/>
        <v>0.23383489223261478</v>
      </c>
    </row>
    <row r="100" spans="1:29" s="152" customFormat="1" ht="13.5" customHeight="1">
      <c r="A100" s="461"/>
      <c r="B100" s="15" t="s">
        <v>29</v>
      </c>
      <c r="C100" s="5">
        <v>974255</v>
      </c>
      <c r="D100" s="9">
        <f t="shared" si="18"/>
        <v>-3.0497501248878001E-2</v>
      </c>
      <c r="E100" s="178"/>
      <c r="F100" s="5">
        <v>6980</v>
      </c>
      <c r="G100" s="9">
        <f t="shared" si="19"/>
        <v>-2.0017157563625432E-3</v>
      </c>
      <c r="H100" s="53">
        <v>82773</v>
      </c>
      <c r="I100" s="37">
        <f t="shared" si="20"/>
        <v>2.5217682103620298E-2</v>
      </c>
      <c r="J100" s="5">
        <v>34</v>
      </c>
      <c r="K100" s="9">
        <f t="shared" si="21"/>
        <v>-0.3928571428571429</v>
      </c>
      <c r="L100" s="68">
        <v>626</v>
      </c>
      <c r="M100" s="9">
        <f t="shared" si="22"/>
        <v>-0.21059268600252212</v>
      </c>
      <c r="N100" s="100">
        <v>933</v>
      </c>
      <c r="O100" s="9">
        <f t="shared" si="25"/>
        <v>0.47160883280757093</v>
      </c>
      <c r="P100" s="100">
        <v>284</v>
      </c>
      <c r="Q100" s="9">
        <f t="shared" si="15"/>
        <v>4.7970479704797064E-2</v>
      </c>
      <c r="R100" s="5"/>
      <c r="S100" s="9"/>
      <c r="T100" s="5">
        <v>164</v>
      </c>
      <c r="U100" s="9">
        <f t="shared" si="17"/>
        <v>7.8947368421052655E-2</v>
      </c>
      <c r="V100" s="412"/>
      <c r="W100" s="422"/>
      <c r="X100" s="5"/>
      <c r="Y100" s="9"/>
      <c r="Z100" s="5">
        <v>39</v>
      </c>
      <c r="AA100" s="9">
        <f t="shared" si="23"/>
        <v>0.30000000000000004</v>
      </c>
      <c r="AB100" s="5">
        <v>3984</v>
      </c>
      <c r="AC100" s="9">
        <f t="shared" si="24"/>
        <v>0.38912133891213396</v>
      </c>
    </row>
    <row r="101" spans="1:29" s="152" customFormat="1" ht="13.5" customHeight="1">
      <c r="A101" s="462"/>
      <c r="B101" s="41" t="s">
        <v>30</v>
      </c>
      <c r="C101" s="5">
        <v>1020648</v>
      </c>
      <c r="D101" s="19">
        <f t="shared" si="18"/>
        <v>-7.6363679084575709E-4</v>
      </c>
      <c r="E101" s="178"/>
      <c r="F101" s="5">
        <v>10170</v>
      </c>
      <c r="G101" s="19">
        <f t="shared" si="19"/>
        <v>-9.6080348413474348E-2</v>
      </c>
      <c r="H101" s="55">
        <v>95811</v>
      </c>
      <c r="I101" s="45">
        <f t="shared" si="20"/>
        <v>3.3537572004918914E-2</v>
      </c>
      <c r="J101" s="42">
        <v>39</v>
      </c>
      <c r="K101" s="19">
        <f t="shared" si="21"/>
        <v>0.77272727272727271</v>
      </c>
      <c r="L101" s="68">
        <v>818</v>
      </c>
      <c r="M101" s="19">
        <f t="shared" si="22"/>
        <v>-6.7274800456100348E-2</v>
      </c>
      <c r="N101" s="141">
        <v>995</v>
      </c>
      <c r="O101" s="19">
        <f t="shared" si="25"/>
        <v>5.8510638297872397E-2</v>
      </c>
      <c r="P101" s="141">
        <v>286</v>
      </c>
      <c r="Q101" s="19">
        <f t="shared" si="15"/>
        <v>-0.12</v>
      </c>
      <c r="R101" s="42"/>
      <c r="S101" s="19"/>
      <c r="T101" s="42">
        <v>162</v>
      </c>
      <c r="U101" s="19">
        <f t="shared" si="17"/>
        <v>-0.23222748815165872</v>
      </c>
      <c r="V101" s="413"/>
      <c r="W101" s="423"/>
      <c r="X101" s="42"/>
      <c r="Y101" s="19"/>
      <c r="Z101" s="42">
        <v>32</v>
      </c>
      <c r="AA101" s="19">
        <f t="shared" si="23"/>
        <v>-3.0303030303030276E-2</v>
      </c>
      <c r="AB101" s="42">
        <v>3611</v>
      </c>
      <c r="AC101" s="19">
        <f t="shared" si="24"/>
        <v>0.34337797619047628</v>
      </c>
    </row>
    <row r="102" spans="1:29" s="152" customFormat="1" ht="13.5" customHeight="1">
      <c r="A102" s="457" t="s">
        <v>63</v>
      </c>
      <c r="B102" s="2" t="s">
        <v>35</v>
      </c>
      <c r="C102" s="25">
        <v>1200782</v>
      </c>
      <c r="D102" s="9">
        <f t="shared" si="18"/>
        <v>-5.3016268837632601E-2</v>
      </c>
      <c r="E102" s="178"/>
      <c r="F102" s="25">
        <v>9073</v>
      </c>
      <c r="G102" s="9">
        <f>F102/F90-1</f>
        <v>-0.17088549757836058</v>
      </c>
      <c r="H102" s="56">
        <v>116728</v>
      </c>
      <c r="I102" s="37">
        <f t="shared" si="20"/>
        <v>-2.5038240999478711E-3</v>
      </c>
      <c r="J102" s="25">
        <v>52</v>
      </c>
      <c r="K102" s="9">
        <f t="shared" si="21"/>
        <v>0.1063829787234043</v>
      </c>
      <c r="L102" s="25">
        <v>936</v>
      </c>
      <c r="M102" s="9">
        <f t="shared" si="22"/>
        <v>-0.13091922005571033</v>
      </c>
      <c r="N102" s="142">
        <v>1414</v>
      </c>
      <c r="O102" s="9">
        <f t="shared" si="25"/>
        <v>8.5592011412267688E-3</v>
      </c>
      <c r="P102" s="142">
        <v>309</v>
      </c>
      <c r="Q102" s="9">
        <f t="shared" si="15"/>
        <v>-9.3841642228739031E-2</v>
      </c>
      <c r="R102" s="25">
        <v>346</v>
      </c>
      <c r="S102" s="9"/>
      <c r="T102" s="25">
        <v>226</v>
      </c>
      <c r="U102" s="9">
        <f t="shared" si="17"/>
        <v>0.43037974683544311</v>
      </c>
      <c r="V102" s="411">
        <v>10588</v>
      </c>
      <c r="W102" s="421">
        <f>(V102/V90-1)</f>
        <v>9.3801652892562037E-2</v>
      </c>
      <c r="X102" s="411">
        <v>47615</v>
      </c>
      <c r="Y102" s="421"/>
      <c r="Z102" s="25">
        <v>29</v>
      </c>
      <c r="AA102" s="9">
        <f t="shared" si="23"/>
        <v>3.5714285714285809E-2</v>
      </c>
      <c r="AB102" s="25">
        <v>4199</v>
      </c>
      <c r="AC102" s="9">
        <f t="shared" si="24"/>
        <v>1.9917415593879051E-2</v>
      </c>
    </row>
    <row r="103" spans="1:29" s="152" customFormat="1" ht="13.5" customHeight="1">
      <c r="A103" s="461"/>
      <c r="B103" s="15" t="s">
        <v>36</v>
      </c>
      <c r="C103" s="5">
        <v>1150334</v>
      </c>
      <c r="D103" s="9">
        <f t="shared" si="18"/>
        <v>5.3778393372101121E-2</v>
      </c>
      <c r="E103" s="178"/>
      <c r="F103" s="5">
        <v>8165</v>
      </c>
      <c r="G103" s="9">
        <f t="shared" ref="G103:G113" si="26">(F103/F91-1)</f>
        <v>5.8053647790592189E-2</v>
      </c>
      <c r="H103" s="53">
        <v>89014</v>
      </c>
      <c r="I103" s="37">
        <f t="shared" si="20"/>
        <v>0.11638698673088022</v>
      </c>
      <c r="J103" s="5">
        <v>45</v>
      </c>
      <c r="K103" s="9">
        <f t="shared" si="21"/>
        <v>0.45161290322580649</v>
      </c>
      <c r="L103" s="5">
        <v>532</v>
      </c>
      <c r="M103" s="9">
        <f t="shared" si="22"/>
        <v>-0.16088328075709779</v>
      </c>
      <c r="N103" s="100">
        <v>1199</v>
      </c>
      <c r="O103" s="9">
        <f t="shared" si="25"/>
        <v>0.3734249713631157</v>
      </c>
      <c r="P103" s="100">
        <v>235</v>
      </c>
      <c r="Q103" s="9">
        <f t="shared" si="15"/>
        <v>-2.083333333333337E-2</v>
      </c>
      <c r="R103" s="5">
        <v>454</v>
      </c>
      <c r="S103" s="9"/>
      <c r="T103" s="5">
        <v>154</v>
      </c>
      <c r="U103" s="9">
        <f t="shared" si="17"/>
        <v>-6.4516129032258229E-3</v>
      </c>
      <c r="V103" s="412"/>
      <c r="W103" s="422"/>
      <c r="X103" s="412"/>
      <c r="Y103" s="422"/>
      <c r="Z103" s="5">
        <v>45</v>
      </c>
      <c r="AA103" s="9">
        <f t="shared" si="23"/>
        <v>0.95652173913043481</v>
      </c>
      <c r="AB103" s="5">
        <v>3973</v>
      </c>
      <c r="AC103" s="9">
        <f t="shared" si="24"/>
        <v>-6.275064873790992E-2</v>
      </c>
    </row>
    <row r="104" spans="1:29" s="152" customFormat="1" ht="13.5" customHeight="1">
      <c r="A104" s="461"/>
      <c r="B104" s="15" t="s">
        <v>21</v>
      </c>
      <c r="C104" s="5">
        <v>1018952</v>
      </c>
      <c r="D104" s="9">
        <f t="shared" si="18"/>
        <v>0.17296999864163906</v>
      </c>
      <c r="E104" s="178"/>
      <c r="F104" s="5">
        <v>7371</v>
      </c>
      <c r="G104" s="9">
        <f t="shared" si="26"/>
        <v>-7.931551336497622E-2</v>
      </c>
      <c r="H104" s="53">
        <v>81490</v>
      </c>
      <c r="I104" s="37">
        <f t="shared" si="20"/>
        <v>0.1626812007761671</v>
      </c>
      <c r="J104" s="5">
        <v>24</v>
      </c>
      <c r="K104" s="9">
        <f t="shared" si="21"/>
        <v>-0.1428571428571429</v>
      </c>
      <c r="L104" s="5">
        <v>614</v>
      </c>
      <c r="M104" s="9">
        <f t="shared" si="22"/>
        <v>7.7192982456140369E-2</v>
      </c>
      <c r="N104" s="100">
        <v>1163</v>
      </c>
      <c r="O104" s="9">
        <f t="shared" si="25"/>
        <v>-0.15294974508375825</v>
      </c>
      <c r="P104" s="100">
        <v>394</v>
      </c>
      <c r="Q104" s="9">
        <f t="shared" si="15"/>
        <v>0.31333333333333324</v>
      </c>
      <c r="R104" s="5">
        <v>461</v>
      </c>
      <c r="S104" s="9"/>
      <c r="T104" s="5">
        <v>252</v>
      </c>
      <c r="U104" s="9">
        <f t="shared" si="17"/>
        <v>0.13004484304932729</v>
      </c>
      <c r="V104" s="412"/>
      <c r="W104" s="422"/>
      <c r="X104" s="412"/>
      <c r="Y104" s="422"/>
      <c r="Z104" s="5">
        <v>40</v>
      </c>
      <c r="AA104" s="9">
        <f t="shared" si="23"/>
        <v>-9.0909090909090939E-2</v>
      </c>
      <c r="AB104" s="5">
        <v>4698</v>
      </c>
      <c r="AC104" s="9">
        <f t="shared" si="24"/>
        <v>0.30030445613063939</v>
      </c>
    </row>
    <row r="105" spans="1:29" s="152" customFormat="1" ht="13.5" customHeight="1">
      <c r="A105" s="461"/>
      <c r="B105" s="73" t="s">
        <v>22</v>
      </c>
      <c r="C105" s="68">
        <v>1018645</v>
      </c>
      <c r="D105" s="74">
        <f t="shared" si="18"/>
        <v>0.17424814435259547</v>
      </c>
      <c r="E105" s="178"/>
      <c r="F105" s="68">
        <v>7728</v>
      </c>
      <c r="G105" s="74">
        <f t="shared" si="26"/>
        <v>-0.18523985239852403</v>
      </c>
      <c r="H105" s="75">
        <v>85533</v>
      </c>
      <c r="I105" s="37">
        <f t="shared" si="20"/>
        <v>0.22317559740872617</v>
      </c>
      <c r="J105" s="68">
        <v>15</v>
      </c>
      <c r="K105" s="9">
        <f t="shared" si="21"/>
        <v>-0.5</v>
      </c>
      <c r="L105" s="68">
        <v>782</v>
      </c>
      <c r="M105" s="9">
        <f t="shared" si="22"/>
        <v>0.12680115273775217</v>
      </c>
      <c r="N105" s="143">
        <v>947</v>
      </c>
      <c r="O105" s="9">
        <f t="shared" si="25"/>
        <v>0.32262569832402233</v>
      </c>
      <c r="P105" s="143">
        <v>313</v>
      </c>
      <c r="Q105" s="9">
        <f t="shared" si="15"/>
        <v>5.0335570469798752E-2</v>
      </c>
      <c r="R105" s="68">
        <v>372</v>
      </c>
      <c r="S105" s="9"/>
      <c r="T105" s="68">
        <v>165</v>
      </c>
      <c r="U105" s="9">
        <f t="shared" si="17"/>
        <v>7.8431372549019551E-2</v>
      </c>
      <c r="V105" s="412"/>
      <c r="W105" s="422"/>
      <c r="X105" s="412"/>
      <c r="Y105" s="422"/>
      <c r="Z105" s="68">
        <v>32</v>
      </c>
      <c r="AA105" s="9">
        <f t="shared" si="23"/>
        <v>-0.13513513513513509</v>
      </c>
      <c r="AB105" s="68">
        <v>4148</v>
      </c>
      <c r="AC105" s="9">
        <f t="shared" si="24"/>
        <v>0.23894862604540035</v>
      </c>
    </row>
    <row r="106" spans="1:29" s="152" customFormat="1" ht="13.5" customHeight="1">
      <c r="A106" s="461"/>
      <c r="B106" s="15" t="s">
        <v>23</v>
      </c>
      <c r="C106" s="5">
        <v>1096950</v>
      </c>
      <c r="D106" s="9">
        <f t="shared" si="18"/>
        <v>8.1368560413008953E-2</v>
      </c>
      <c r="E106" s="178"/>
      <c r="F106" s="5">
        <v>12699</v>
      </c>
      <c r="G106" s="74">
        <f t="shared" si="26"/>
        <v>-8.6994032640736241E-2</v>
      </c>
      <c r="H106" s="53">
        <v>101333</v>
      </c>
      <c r="I106" s="37">
        <f t="shared" si="20"/>
        <v>5.3401388831136432E-2</v>
      </c>
      <c r="J106" s="5">
        <v>25</v>
      </c>
      <c r="K106" s="9">
        <f t="shared" si="21"/>
        <v>-0.45652173913043481</v>
      </c>
      <c r="L106" s="5">
        <v>617</v>
      </c>
      <c r="M106" s="9">
        <f t="shared" si="22"/>
        <v>0.11371841155234663</v>
      </c>
      <c r="N106" s="100">
        <v>679</v>
      </c>
      <c r="O106" s="9">
        <f t="shared" si="25"/>
        <v>4.141104294478537E-2</v>
      </c>
      <c r="P106" s="100">
        <v>251</v>
      </c>
      <c r="Q106" s="9">
        <f t="shared" si="15"/>
        <v>-1.1811023622047223E-2</v>
      </c>
      <c r="R106" s="5">
        <v>359</v>
      </c>
      <c r="S106" s="9"/>
      <c r="T106" s="5">
        <v>225</v>
      </c>
      <c r="U106" s="9">
        <f t="shared" si="17"/>
        <v>0.11386138613861396</v>
      </c>
      <c r="V106" s="412"/>
      <c r="W106" s="422"/>
      <c r="X106" s="412"/>
      <c r="Y106" s="422"/>
      <c r="Z106" s="5">
        <v>47</v>
      </c>
      <c r="AA106" s="9">
        <f t="shared" si="23"/>
        <v>0.14634146341463405</v>
      </c>
      <c r="AB106" s="5">
        <v>4158</v>
      </c>
      <c r="AC106" s="9">
        <f t="shared" si="24"/>
        <v>7.7556955889481749E-3</v>
      </c>
    </row>
    <row r="107" spans="1:29" s="152" customFormat="1" ht="13.5" customHeight="1">
      <c r="A107" s="461"/>
      <c r="B107" s="73" t="s">
        <v>24</v>
      </c>
      <c r="C107" s="68">
        <v>1109273</v>
      </c>
      <c r="D107" s="74">
        <f t="shared" si="18"/>
        <v>5.278278150974984E-2</v>
      </c>
      <c r="E107" s="178"/>
      <c r="F107" s="68">
        <v>16398</v>
      </c>
      <c r="G107" s="74">
        <f t="shared" si="26"/>
        <v>-0.10885277974023155</v>
      </c>
      <c r="H107" s="75">
        <v>112676</v>
      </c>
      <c r="I107" s="37">
        <f t="shared" si="20"/>
        <v>7.5778840737452224E-2</v>
      </c>
      <c r="J107" s="68">
        <v>18</v>
      </c>
      <c r="K107" s="9">
        <f t="shared" si="21"/>
        <v>-0.3571428571428571</v>
      </c>
      <c r="L107" s="68">
        <v>718</v>
      </c>
      <c r="M107" s="9">
        <f t="shared" si="22"/>
        <v>6.2130177514792884E-2</v>
      </c>
      <c r="N107" s="143">
        <v>907</v>
      </c>
      <c r="O107" s="9">
        <f t="shared" si="25"/>
        <v>0.64909090909090916</v>
      </c>
      <c r="P107" s="143">
        <v>238</v>
      </c>
      <c r="Q107" s="9">
        <f t="shared" si="15"/>
        <v>-0.33888888888888891</v>
      </c>
      <c r="R107" s="68">
        <v>378</v>
      </c>
      <c r="S107" s="9"/>
      <c r="T107" s="68">
        <v>245</v>
      </c>
      <c r="U107" s="9">
        <f t="shared" si="17"/>
        <v>-2.777777777777779E-2</v>
      </c>
      <c r="V107" s="412"/>
      <c r="W107" s="422"/>
      <c r="X107" s="412"/>
      <c r="Y107" s="422"/>
      <c r="Z107" s="68">
        <v>38</v>
      </c>
      <c r="AA107" s="9">
        <f t="shared" si="23"/>
        <v>8.5714285714285632E-2</v>
      </c>
      <c r="AB107" s="68">
        <v>4899</v>
      </c>
      <c r="AC107" s="9">
        <f t="shared" si="24"/>
        <v>0.42288701713621846</v>
      </c>
    </row>
    <row r="108" spans="1:29" s="152" customFormat="1" ht="13.5" customHeight="1">
      <c r="A108" s="461"/>
      <c r="B108" s="15" t="s">
        <v>25</v>
      </c>
      <c r="C108" s="5">
        <v>1305418</v>
      </c>
      <c r="D108" s="74">
        <f t="shared" si="18"/>
        <v>5.137524977267767E-2</v>
      </c>
      <c r="E108" s="178"/>
      <c r="F108" s="5">
        <v>21123</v>
      </c>
      <c r="G108" s="74">
        <f t="shared" si="26"/>
        <v>-0.11611850364047205</v>
      </c>
      <c r="H108" s="75">
        <v>130258</v>
      </c>
      <c r="I108" s="37">
        <f t="shared" si="20"/>
        <v>2.40871137789056E-3</v>
      </c>
      <c r="J108" s="68">
        <v>42</v>
      </c>
      <c r="K108" s="9">
        <f t="shared" si="21"/>
        <v>-6.6666666666666652E-2</v>
      </c>
      <c r="L108" s="68">
        <v>894</v>
      </c>
      <c r="M108" s="9">
        <f t="shared" si="22"/>
        <v>0.23480662983425415</v>
      </c>
      <c r="N108" s="143">
        <v>552</v>
      </c>
      <c r="O108" s="9">
        <f t="shared" si="25"/>
        <v>0.24604966139954842</v>
      </c>
      <c r="P108" s="143">
        <v>292</v>
      </c>
      <c r="Q108" s="9">
        <f t="shared" si="15"/>
        <v>-2.3411371237458178E-2</v>
      </c>
      <c r="R108" s="68">
        <v>377</v>
      </c>
      <c r="S108" s="9"/>
      <c r="T108" s="68">
        <v>235</v>
      </c>
      <c r="U108" s="9">
        <f t="shared" si="17"/>
        <v>-0.10305343511450382</v>
      </c>
      <c r="V108" s="412"/>
      <c r="W108" s="422"/>
      <c r="X108" s="412"/>
      <c r="Y108" s="422"/>
      <c r="Z108" s="68">
        <v>24</v>
      </c>
      <c r="AA108" s="9">
        <f t="shared" si="23"/>
        <v>-0.44186046511627908</v>
      </c>
      <c r="AB108" s="68">
        <v>4330</v>
      </c>
      <c r="AC108" s="9">
        <f t="shared" si="24"/>
        <v>0.11425630468347925</v>
      </c>
    </row>
    <row r="109" spans="1:29" s="152" customFormat="1" ht="13.5" customHeight="1">
      <c r="A109" s="461"/>
      <c r="B109" s="73" t="s">
        <v>26</v>
      </c>
      <c r="C109" s="68">
        <v>1334651</v>
      </c>
      <c r="D109" s="74">
        <f t="shared" si="18"/>
        <v>7.0098987990911008E-2</v>
      </c>
      <c r="E109" s="178"/>
      <c r="F109" s="68">
        <v>15253</v>
      </c>
      <c r="G109" s="74">
        <f t="shared" si="26"/>
        <v>-8.7029388878912983E-2</v>
      </c>
      <c r="H109" s="75">
        <v>123567</v>
      </c>
      <c r="I109" s="37">
        <f t="shared" si="20"/>
        <v>3.619256861577691E-2</v>
      </c>
      <c r="J109" s="68">
        <v>17</v>
      </c>
      <c r="K109" s="9">
        <f t="shared" si="21"/>
        <v>-0.75714285714285712</v>
      </c>
      <c r="L109" s="68">
        <v>701</v>
      </c>
      <c r="M109" s="9">
        <f t="shared" si="22"/>
        <v>-0.17915690866510536</v>
      </c>
      <c r="N109" s="143">
        <v>535</v>
      </c>
      <c r="O109" s="9">
        <f t="shared" si="25"/>
        <v>-7.4394463667820099E-2</v>
      </c>
      <c r="P109" s="143">
        <v>275</v>
      </c>
      <c r="Q109" s="9">
        <f t="shared" si="15"/>
        <v>-2.8268551236749095E-2</v>
      </c>
      <c r="R109" s="68">
        <v>348</v>
      </c>
      <c r="S109" s="9"/>
      <c r="T109" s="68">
        <v>129</v>
      </c>
      <c r="U109" s="9">
        <f t="shared" si="17"/>
        <v>-0.44155844155844159</v>
      </c>
      <c r="V109" s="412"/>
      <c r="W109" s="422"/>
      <c r="X109" s="412"/>
      <c r="Y109" s="422"/>
      <c r="Z109" s="68">
        <v>31</v>
      </c>
      <c r="AA109" s="9">
        <f t="shared" si="23"/>
        <v>-0.39215686274509809</v>
      </c>
      <c r="AB109" s="68">
        <v>4174</v>
      </c>
      <c r="AC109" s="9">
        <f t="shared" si="24"/>
        <v>9.324253535882665E-2</v>
      </c>
    </row>
    <row r="110" spans="1:29" s="152" customFormat="1" ht="13.5" customHeight="1">
      <c r="A110" s="461"/>
      <c r="B110" s="73" t="s">
        <v>27</v>
      </c>
      <c r="C110" s="68">
        <v>1059709</v>
      </c>
      <c r="D110" s="74">
        <f t="shared" si="18"/>
        <v>4.5586266301071425E-2</v>
      </c>
      <c r="E110" s="178"/>
      <c r="F110" s="68">
        <v>12767</v>
      </c>
      <c r="G110" s="74">
        <f t="shared" si="26"/>
        <v>-0.11714265956711156</v>
      </c>
      <c r="H110" s="53">
        <v>99519</v>
      </c>
      <c r="I110" s="37">
        <f t="shared" si="20"/>
        <v>0.10347389313315669</v>
      </c>
      <c r="J110" s="5">
        <v>22</v>
      </c>
      <c r="K110" s="9">
        <f t="shared" si="21"/>
        <v>-0.55102040816326525</v>
      </c>
      <c r="L110" s="5">
        <v>603</v>
      </c>
      <c r="M110" s="9">
        <f t="shared" si="22"/>
        <v>-0.22093023255813948</v>
      </c>
      <c r="N110" s="100">
        <v>681</v>
      </c>
      <c r="O110" s="9">
        <f t="shared" si="25"/>
        <v>4.4478527607362039E-2</v>
      </c>
      <c r="P110" s="100">
        <v>209</v>
      </c>
      <c r="Q110" s="9">
        <f t="shared" si="15"/>
        <v>0.15469613259668513</v>
      </c>
      <c r="R110" s="5">
        <v>357</v>
      </c>
      <c r="S110" s="9"/>
      <c r="T110" s="5">
        <v>195</v>
      </c>
      <c r="U110" s="9">
        <f t="shared" si="17"/>
        <v>-0.2585551330798479</v>
      </c>
      <c r="V110" s="412"/>
      <c r="W110" s="422"/>
      <c r="X110" s="412"/>
      <c r="Y110" s="422"/>
      <c r="Z110" s="5">
        <v>34</v>
      </c>
      <c r="AA110" s="9">
        <f t="shared" si="23"/>
        <v>0.2592592592592593</v>
      </c>
      <c r="AB110" s="5">
        <v>3690</v>
      </c>
      <c r="AC110" s="9">
        <f t="shared" si="24"/>
        <v>8.1794195250659563E-2</v>
      </c>
    </row>
    <row r="111" spans="1:29" s="152" customFormat="1" ht="13.5" customHeight="1">
      <c r="A111" s="461"/>
      <c r="B111" s="15" t="s">
        <v>28</v>
      </c>
      <c r="C111" s="5">
        <v>1154742</v>
      </c>
      <c r="D111" s="74">
        <f t="shared" si="18"/>
        <v>0.11829779321685588</v>
      </c>
      <c r="E111" s="178"/>
      <c r="F111" s="5">
        <v>12167</v>
      </c>
      <c r="G111" s="74">
        <f t="shared" si="26"/>
        <v>0.16810675883256532</v>
      </c>
      <c r="H111" s="53">
        <v>101739</v>
      </c>
      <c r="I111" s="37">
        <f t="shared" si="20"/>
        <v>0.1361900294827123</v>
      </c>
      <c r="J111" s="5">
        <v>38</v>
      </c>
      <c r="K111" s="9">
        <f t="shared" si="21"/>
        <v>0.26666666666666661</v>
      </c>
      <c r="L111" s="68">
        <v>563</v>
      </c>
      <c r="M111" s="9">
        <f t="shared" si="22"/>
        <v>-0.56254856254856256</v>
      </c>
      <c r="N111" s="100">
        <v>719</v>
      </c>
      <c r="O111" s="9">
        <f t="shared" si="25"/>
        <v>0.12168486739469575</v>
      </c>
      <c r="P111" s="100">
        <v>242</v>
      </c>
      <c r="Q111" s="9">
        <f t="shared" si="15"/>
        <v>0.30810810810810807</v>
      </c>
      <c r="R111" s="5">
        <v>326</v>
      </c>
      <c r="S111" s="9"/>
      <c r="T111" s="5">
        <v>148</v>
      </c>
      <c r="U111" s="9">
        <f t="shared" si="17"/>
        <v>-0.26732673267326734</v>
      </c>
      <c r="V111" s="412"/>
      <c r="W111" s="422"/>
      <c r="X111" s="412"/>
      <c r="Y111" s="422"/>
      <c r="Z111" s="5">
        <v>35</v>
      </c>
      <c r="AA111" s="9">
        <f t="shared" si="23"/>
        <v>-0.10256410256410253</v>
      </c>
      <c r="AB111" s="5">
        <v>4139</v>
      </c>
      <c r="AC111" s="9">
        <f t="shared" si="24"/>
        <v>0.36420566908371788</v>
      </c>
    </row>
    <row r="112" spans="1:29" s="152" customFormat="1" ht="13.5" customHeight="1">
      <c r="A112" s="461"/>
      <c r="B112" s="15" t="s">
        <v>29</v>
      </c>
      <c r="C112" s="5">
        <v>1117550</v>
      </c>
      <c r="D112" s="74">
        <f t="shared" si="18"/>
        <v>0.14708161620930865</v>
      </c>
      <c r="E112" s="178"/>
      <c r="F112" s="5">
        <v>6759</v>
      </c>
      <c r="G112" s="74">
        <f t="shared" si="26"/>
        <v>-3.1661891117478524E-2</v>
      </c>
      <c r="H112" s="53">
        <v>96321</v>
      </c>
      <c r="I112" s="37">
        <f t="shared" si="20"/>
        <v>0.16367656119749197</v>
      </c>
      <c r="J112" s="5">
        <v>20</v>
      </c>
      <c r="K112" s="9">
        <f t="shared" si="21"/>
        <v>-0.41176470588235292</v>
      </c>
      <c r="L112" s="68">
        <v>541</v>
      </c>
      <c r="M112" s="9">
        <f t="shared" si="22"/>
        <v>-0.13578274760383391</v>
      </c>
      <c r="N112" s="100">
        <v>1163</v>
      </c>
      <c r="O112" s="9">
        <f t="shared" si="25"/>
        <v>0.24651661307609851</v>
      </c>
      <c r="P112" s="100">
        <v>302</v>
      </c>
      <c r="Q112" s="9">
        <f t="shared" si="15"/>
        <v>6.3380281690140761E-2</v>
      </c>
      <c r="R112" s="5">
        <v>376</v>
      </c>
      <c r="S112" s="9"/>
      <c r="T112" s="5">
        <v>171</v>
      </c>
      <c r="U112" s="9">
        <f t="shared" si="17"/>
        <v>4.2682926829268331E-2</v>
      </c>
      <c r="V112" s="412"/>
      <c r="W112" s="422"/>
      <c r="X112" s="412"/>
      <c r="Y112" s="422"/>
      <c r="Z112" s="5">
        <v>37</v>
      </c>
      <c r="AA112" s="9">
        <f t="shared" si="23"/>
        <v>-5.1282051282051322E-2</v>
      </c>
      <c r="AB112" s="5">
        <v>4029</v>
      </c>
      <c r="AC112" s="9">
        <f t="shared" si="24"/>
        <v>1.1295180722891596E-2</v>
      </c>
    </row>
    <row r="113" spans="1:29" s="152" customFormat="1" ht="13.5" customHeight="1">
      <c r="A113" s="462"/>
      <c r="B113" s="41" t="s">
        <v>30</v>
      </c>
      <c r="C113" s="5">
        <v>1169970</v>
      </c>
      <c r="D113" s="74">
        <f t="shared" si="18"/>
        <v>0.1463011733722106</v>
      </c>
      <c r="E113" s="178"/>
      <c r="F113" s="5">
        <v>10496</v>
      </c>
      <c r="G113" s="74">
        <f t="shared" si="26"/>
        <v>3.2055063913470905E-2</v>
      </c>
      <c r="H113" s="53">
        <v>113254</v>
      </c>
      <c r="I113" s="85">
        <f t="shared" si="20"/>
        <v>0.18205634008621141</v>
      </c>
      <c r="J113" s="42">
        <v>32</v>
      </c>
      <c r="K113" s="19">
        <f t="shared" si="21"/>
        <v>-0.17948717948717952</v>
      </c>
      <c r="L113" s="68">
        <v>756</v>
      </c>
      <c r="M113" s="19">
        <f t="shared" si="22"/>
        <v>-7.5794621026894826E-2</v>
      </c>
      <c r="N113" s="141">
        <v>1071</v>
      </c>
      <c r="O113" s="19">
        <f t="shared" si="25"/>
        <v>7.6381909547738713E-2</v>
      </c>
      <c r="P113" s="141">
        <v>377</v>
      </c>
      <c r="Q113" s="19">
        <f t="shared" si="15"/>
        <v>0.31818181818181812</v>
      </c>
      <c r="R113" s="42">
        <v>357</v>
      </c>
      <c r="S113" s="19"/>
      <c r="T113" s="42">
        <v>168</v>
      </c>
      <c r="U113" s="19">
        <f t="shared" si="17"/>
        <v>3.7037037037036979E-2</v>
      </c>
      <c r="V113" s="413"/>
      <c r="W113" s="423"/>
      <c r="X113" s="413"/>
      <c r="Y113" s="423"/>
      <c r="Z113" s="42">
        <v>27</v>
      </c>
      <c r="AA113" s="19">
        <f t="shared" si="23"/>
        <v>-0.15625</v>
      </c>
      <c r="AB113" s="42">
        <v>3552</v>
      </c>
      <c r="AC113" s="19">
        <f t="shared" si="24"/>
        <v>-1.633896427582382E-2</v>
      </c>
    </row>
    <row r="114" spans="1:29" s="152" customFormat="1" ht="14.25" customHeight="1">
      <c r="A114" s="457" t="s">
        <v>65</v>
      </c>
      <c r="B114" s="2" t="s">
        <v>35</v>
      </c>
      <c r="C114" s="25">
        <v>1425900</v>
      </c>
      <c r="D114" s="24">
        <f t="shared" si="18"/>
        <v>0.18747616136817508</v>
      </c>
      <c r="E114" s="178"/>
      <c r="F114" s="25">
        <v>9451</v>
      </c>
      <c r="G114" s="24">
        <f t="shared" ref="G114:G125" si="27">F114/F102-1</f>
        <v>4.1662074286344053E-2</v>
      </c>
      <c r="H114" s="56">
        <v>126353</v>
      </c>
      <c r="I114" s="37">
        <f t="shared" si="20"/>
        <v>8.245665136042768E-2</v>
      </c>
      <c r="J114" s="25">
        <v>13</v>
      </c>
      <c r="K114" s="24">
        <f t="shared" ref="K114:K125" si="28">J114/J102-1</f>
        <v>-0.75</v>
      </c>
      <c r="L114" s="25">
        <v>1027</v>
      </c>
      <c r="M114" s="24">
        <f t="shared" ref="M114:M124" si="29">L114/L102-1</f>
        <v>9.7222222222222321E-2</v>
      </c>
      <c r="N114" s="142">
        <v>1870</v>
      </c>
      <c r="O114" s="9">
        <f t="shared" si="25"/>
        <v>0.32248939179632252</v>
      </c>
      <c r="P114" s="103">
        <v>385</v>
      </c>
      <c r="Q114" s="9">
        <f t="shared" si="15"/>
        <v>0.24595469255663427</v>
      </c>
      <c r="R114" s="25">
        <v>399</v>
      </c>
      <c r="S114" s="9">
        <f t="shared" ref="S114:S141" si="30">(R114/R102-1)</f>
        <v>0.15317919075144504</v>
      </c>
      <c r="T114" s="25">
        <v>210</v>
      </c>
      <c r="U114" s="9">
        <f t="shared" si="17"/>
        <v>-7.0796460176991149E-2</v>
      </c>
      <c r="V114" s="411">
        <v>11175</v>
      </c>
      <c r="W114" s="421">
        <f>(V114/V102-1)</f>
        <v>5.5440120891575351E-2</v>
      </c>
      <c r="X114" s="411">
        <v>59249</v>
      </c>
      <c r="Y114" s="421">
        <f>(X114/X102-1)</f>
        <v>0.24433476845531876</v>
      </c>
      <c r="Z114" s="25">
        <v>22</v>
      </c>
      <c r="AA114" s="9">
        <f t="shared" si="23"/>
        <v>-0.24137931034482762</v>
      </c>
      <c r="AB114" s="411">
        <v>44339</v>
      </c>
      <c r="AC114" s="421">
        <f>AB114/SUM(AB102:AB113)-1</f>
        <v>-0.11302486547040347</v>
      </c>
    </row>
    <row r="115" spans="1:29" s="152" customFormat="1" ht="14.25" customHeight="1">
      <c r="A115" s="461"/>
      <c r="B115" s="15" t="s">
        <v>36</v>
      </c>
      <c r="C115" s="5">
        <v>1184807</v>
      </c>
      <c r="D115" s="9">
        <f t="shared" si="18"/>
        <v>2.9967818042412029E-2</v>
      </c>
      <c r="E115" s="178"/>
      <c r="F115" s="5">
        <v>7612</v>
      </c>
      <c r="G115" s="9">
        <f t="shared" si="27"/>
        <v>-6.7728107777097368E-2</v>
      </c>
      <c r="H115" s="53">
        <v>87099</v>
      </c>
      <c r="I115" s="37">
        <f t="shared" si="20"/>
        <v>-2.151346979126878E-2</v>
      </c>
      <c r="J115" s="5">
        <v>33</v>
      </c>
      <c r="K115" s="9">
        <f t="shared" si="28"/>
        <v>-0.26666666666666672</v>
      </c>
      <c r="L115" s="5">
        <v>614</v>
      </c>
      <c r="M115" s="9">
        <f t="shared" si="29"/>
        <v>0.15413533834586457</v>
      </c>
      <c r="N115" s="100">
        <v>1089</v>
      </c>
      <c r="O115" s="9">
        <f t="shared" si="25"/>
        <v>-9.1743119266055051E-2</v>
      </c>
      <c r="P115" s="103">
        <v>247</v>
      </c>
      <c r="Q115" s="9">
        <f t="shared" si="15"/>
        <v>5.1063829787234116E-2</v>
      </c>
      <c r="R115" s="5">
        <v>425</v>
      </c>
      <c r="S115" s="9">
        <f t="shared" si="30"/>
        <v>-6.3876651982378907E-2</v>
      </c>
      <c r="T115" s="5">
        <v>176</v>
      </c>
      <c r="U115" s="9">
        <f t="shared" si="17"/>
        <v>0.14285714285714279</v>
      </c>
      <c r="V115" s="412"/>
      <c r="W115" s="422"/>
      <c r="X115" s="412"/>
      <c r="Y115" s="422"/>
      <c r="Z115" s="5">
        <v>18</v>
      </c>
      <c r="AA115" s="9">
        <f t="shared" si="23"/>
        <v>-0.6</v>
      </c>
      <c r="AB115" s="412">
        <v>44339</v>
      </c>
      <c r="AC115" s="422"/>
    </row>
    <row r="116" spans="1:29" s="152" customFormat="1" ht="14.25" customHeight="1">
      <c r="A116" s="461"/>
      <c r="B116" s="15" t="s">
        <v>21</v>
      </c>
      <c r="C116" s="5">
        <v>1113946</v>
      </c>
      <c r="D116" s="9">
        <f t="shared" si="18"/>
        <v>9.322715888481499E-2</v>
      </c>
      <c r="E116" s="178"/>
      <c r="F116" s="5">
        <v>7440</v>
      </c>
      <c r="G116" s="9">
        <f t="shared" si="27"/>
        <v>9.3610093610092537E-3</v>
      </c>
      <c r="H116" s="53">
        <v>86039</v>
      </c>
      <c r="I116" s="37">
        <f t="shared" si="20"/>
        <v>5.5822800343600543E-2</v>
      </c>
      <c r="J116" s="5">
        <v>30</v>
      </c>
      <c r="K116" s="9">
        <f t="shared" si="28"/>
        <v>0.25</v>
      </c>
      <c r="L116" s="86">
        <v>852</v>
      </c>
      <c r="M116" s="9">
        <f t="shared" si="29"/>
        <v>0.3876221498371335</v>
      </c>
      <c r="N116" s="100">
        <v>1113</v>
      </c>
      <c r="O116" s="9">
        <f t="shared" si="25"/>
        <v>-4.2992261392949316E-2</v>
      </c>
      <c r="P116" s="103">
        <v>352</v>
      </c>
      <c r="Q116" s="9">
        <f t="shared" si="15"/>
        <v>-0.10659898477157359</v>
      </c>
      <c r="R116" s="5">
        <v>370</v>
      </c>
      <c r="S116" s="9">
        <f t="shared" si="30"/>
        <v>-0.1973969631236443</v>
      </c>
      <c r="T116" s="5">
        <v>252</v>
      </c>
      <c r="U116" s="9">
        <f t="shared" si="17"/>
        <v>0</v>
      </c>
      <c r="V116" s="412"/>
      <c r="W116" s="422"/>
      <c r="X116" s="412"/>
      <c r="Y116" s="422"/>
      <c r="Z116" s="5">
        <v>23</v>
      </c>
      <c r="AA116" s="9">
        <f t="shared" si="23"/>
        <v>-0.42500000000000004</v>
      </c>
      <c r="AB116" s="412">
        <v>44339</v>
      </c>
      <c r="AC116" s="422"/>
    </row>
    <row r="117" spans="1:29" s="152" customFormat="1" ht="14.25" customHeight="1">
      <c r="A117" s="461"/>
      <c r="B117" s="73" t="s">
        <v>22</v>
      </c>
      <c r="C117" s="5">
        <f>Asia!C117</f>
        <v>1097420</v>
      </c>
      <c r="D117" s="9">
        <f t="shared" ref="D117:D126" si="31">(C117-C105)/C105</f>
        <v>7.733312390479509E-2</v>
      </c>
      <c r="E117" s="178"/>
      <c r="F117" s="68">
        <v>7954</v>
      </c>
      <c r="G117" s="9">
        <f t="shared" si="27"/>
        <v>2.9244306418219512E-2</v>
      </c>
      <c r="H117" s="75">
        <v>89045</v>
      </c>
      <c r="I117" s="37">
        <f t="shared" si="20"/>
        <v>4.1060175604737292E-2</v>
      </c>
      <c r="J117" s="68">
        <v>36</v>
      </c>
      <c r="K117" s="9">
        <f t="shared" si="28"/>
        <v>1.4</v>
      </c>
      <c r="L117" s="68">
        <v>633</v>
      </c>
      <c r="M117" s="9">
        <f t="shared" si="29"/>
        <v>-0.19053708439897699</v>
      </c>
      <c r="N117" s="143">
        <v>888</v>
      </c>
      <c r="O117" s="9">
        <f t="shared" si="25"/>
        <v>-6.23020063357973E-2</v>
      </c>
      <c r="P117" s="103">
        <v>220</v>
      </c>
      <c r="Q117" s="9">
        <f t="shared" si="15"/>
        <v>-0.29712460063897761</v>
      </c>
      <c r="R117" s="68">
        <v>315</v>
      </c>
      <c r="S117" s="9">
        <f t="shared" si="30"/>
        <v>-0.15322580645161288</v>
      </c>
      <c r="T117" s="68">
        <v>156</v>
      </c>
      <c r="U117" s="9">
        <f t="shared" si="17"/>
        <v>-5.4545454545454564E-2</v>
      </c>
      <c r="V117" s="412"/>
      <c r="W117" s="422"/>
      <c r="X117" s="412"/>
      <c r="Y117" s="422"/>
      <c r="Z117" s="68">
        <v>26</v>
      </c>
      <c r="AA117" s="9">
        <f t="shared" si="23"/>
        <v>-0.1875</v>
      </c>
      <c r="AB117" s="412">
        <v>44339</v>
      </c>
      <c r="AC117" s="422"/>
    </row>
    <row r="118" spans="1:29" s="152" customFormat="1" ht="14.25" customHeight="1">
      <c r="A118" s="461"/>
      <c r="B118" s="15" t="s">
        <v>23</v>
      </c>
      <c r="C118" s="5">
        <v>1185405</v>
      </c>
      <c r="D118" s="9">
        <f t="shared" si="31"/>
        <v>8.0637221386571853E-2</v>
      </c>
      <c r="E118" s="178"/>
      <c r="F118" s="5">
        <v>12718</v>
      </c>
      <c r="G118" s="9">
        <f t="shared" si="27"/>
        <v>1.4961808016378253E-3</v>
      </c>
      <c r="H118" s="53">
        <v>114979</v>
      </c>
      <c r="I118" s="37">
        <f t="shared" si="20"/>
        <v>0.13466491666090996</v>
      </c>
      <c r="J118" s="5">
        <v>56</v>
      </c>
      <c r="K118" s="9">
        <f t="shared" si="28"/>
        <v>1.2400000000000002</v>
      </c>
      <c r="L118" s="5">
        <v>712</v>
      </c>
      <c r="M118" s="9">
        <f t="shared" si="29"/>
        <v>0.15397082658022687</v>
      </c>
      <c r="N118" s="100">
        <v>701</v>
      </c>
      <c r="O118" s="9">
        <f t="shared" si="25"/>
        <v>3.2400589101620136E-2</v>
      </c>
      <c r="P118" s="103">
        <v>273</v>
      </c>
      <c r="Q118" s="9">
        <f t="shared" si="15"/>
        <v>8.7649402390438169E-2</v>
      </c>
      <c r="R118" s="5">
        <v>272</v>
      </c>
      <c r="S118" s="9">
        <f t="shared" si="30"/>
        <v>-0.24233983286908078</v>
      </c>
      <c r="T118" s="5">
        <v>126</v>
      </c>
      <c r="U118" s="9">
        <f t="shared" si="17"/>
        <v>-0.43999999999999995</v>
      </c>
      <c r="V118" s="412"/>
      <c r="W118" s="422"/>
      <c r="X118" s="412"/>
      <c r="Y118" s="422"/>
      <c r="Z118" s="5">
        <v>32</v>
      </c>
      <c r="AA118" s="9">
        <f t="shared" si="23"/>
        <v>-0.31914893617021278</v>
      </c>
      <c r="AB118" s="412">
        <v>44339</v>
      </c>
      <c r="AC118" s="422"/>
    </row>
    <row r="119" spans="1:29" s="152" customFormat="1" ht="14.25" customHeight="1">
      <c r="A119" s="461"/>
      <c r="B119" s="73" t="s">
        <v>24</v>
      </c>
      <c r="C119" s="68">
        <v>1221491</v>
      </c>
      <c r="D119" s="9">
        <f t="shared" si="31"/>
        <v>0.10116355486881949</v>
      </c>
      <c r="E119" s="178"/>
      <c r="F119" s="68">
        <v>17441</v>
      </c>
      <c r="G119" s="9">
        <f t="shared" si="27"/>
        <v>6.3605317721673327E-2</v>
      </c>
      <c r="H119" s="75">
        <v>125389</v>
      </c>
      <c r="I119" s="37">
        <f t="shared" si="20"/>
        <v>0.11282793141396574</v>
      </c>
      <c r="J119" s="68">
        <v>59</v>
      </c>
      <c r="K119" s="9">
        <f>J119/J107-1</f>
        <v>2.2777777777777777</v>
      </c>
      <c r="L119" s="68">
        <v>726</v>
      </c>
      <c r="M119" s="9">
        <f>L119/L107-1</f>
        <v>1.1142061281337101E-2</v>
      </c>
      <c r="N119" s="143">
        <v>554</v>
      </c>
      <c r="O119" s="9">
        <f t="shared" si="25"/>
        <v>-0.38919514884233741</v>
      </c>
      <c r="P119" s="103">
        <v>241</v>
      </c>
      <c r="Q119" s="9">
        <f t="shared" si="15"/>
        <v>1.2605042016806678E-2</v>
      </c>
      <c r="R119" s="68">
        <v>287</v>
      </c>
      <c r="S119" s="9">
        <f t="shared" si="30"/>
        <v>-0.2407407407407407</v>
      </c>
      <c r="T119" s="68">
        <v>286</v>
      </c>
      <c r="U119" s="9">
        <f t="shared" si="17"/>
        <v>0.16734693877551021</v>
      </c>
      <c r="V119" s="412"/>
      <c r="W119" s="422"/>
      <c r="X119" s="412"/>
      <c r="Y119" s="422"/>
      <c r="Z119" s="68">
        <v>21</v>
      </c>
      <c r="AA119" s="9">
        <f t="shared" si="23"/>
        <v>-0.44736842105263153</v>
      </c>
      <c r="AB119" s="412">
        <v>44339</v>
      </c>
      <c r="AC119" s="422"/>
    </row>
    <row r="120" spans="1:29" s="152" customFormat="1" ht="14.25" customHeight="1">
      <c r="A120" s="461"/>
      <c r="B120" s="15" t="s">
        <v>25</v>
      </c>
      <c r="C120" s="5">
        <v>1417422</v>
      </c>
      <c r="D120" s="9">
        <f t="shared" si="31"/>
        <v>8.5799337836616321E-2</v>
      </c>
      <c r="E120" s="178"/>
      <c r="F120" s="5">
        <v>21794</v>
      </c>
      <c r="G120" s="9">
        <f t="shared" si="27"/>
        <v>3.1766321071817538E-2</v>
      </c>
      <c r="H120" s="53">
        <v>144324</v>
      </c>
      <c r="I120" s="9">
        <f t="shared" ref="I120:I126" si="32">H120/H108-1</f>
        <v>0.10798568993842994</v>
      </c>
      <c r="J120" s="5">
        <v>24</v>
      </c>
      <c r="K120" s="9">
        <f t="shared" si="28"/>
        <v>-0.4285714285714286</v>
      </c>
      <c r="L120" s="5">
        <v>657</v>
      </c>
      <c r="M120" s="9">
        <f t="shared" si="29"/>
        <v>-0.2651006711409396</v>
      </c>
      <c r="N120" s="100">
        <v>657</v>
      </c>
      <c r="O120" s="9">
        <f t="shared" si="25"/>
        <v>0.19021739130434789</v>
      </c>
      <c r="P120" s="103">
        <v>326</v>
      </c>
      <c r="Q120" s="9">
        <f t="shared" si="15"/>
        <v>0.11643835616438358</v>
      </c>
      <c r="R120" s="5">
        <v>311</v>
      </c>
      <c r="S120" s="9">
        <f t="shared" si="30"/>
        <v>-0.17506631299734743</v>
      </c>
      <c r="T120" s="5">
        <v>226</v>
      </c>
      <c r="U120" s="9">
        <f t="shared" si="17"/>
        <v>-3.8297872340425587E-2</v>
      </c>
      <c r="V120" s="412"/>
      <c r="W120" s="422"/>
      <c r="X120" s="412"/>
      <c r="Y120" s="422"/>
      <c r="Z120" s="5">
        <v>23</v>
      </c>
      <c r="AA120" s="9">
        <f t="shared" si="23"/>
        <v>-4.166666666666663E-2</v>
      </c>
      <c r="AB120" s="412">
        <v>44339</v>
      </c>
      <c r="AC120" s="422"/>
    </row>
    <row r="121" spans="1:29" s="152" customFormat="1" ht="14.25" customHeight="1">
      <c r="A121" s="461"/>
      <c r="B121" s="73" t="s">
        <v>26</v>
      </c>
      <c r="C121" s="68">
        <v>1407186</v>
      </c>
      <c r="D121" s="9">
        <f t="shared" si="31"/>
        <v>5.4347541042564687E-2</v>
      </c>
      <c r="E121" s="178"/>
      <c r="F121" s="68">
        <v>16132</v>
      </c>
      <c r="G121" s="9">
        <f t="shared" si="27"/>
        <v>5.762800760506126E-2</v>
      </c>
      <c r="H121" s="75">
        <v>134718</v>
      </c>
      <c r="I121" s="9">
        <f t="shared" si="32"/>
        <v>9.0242540484109846E-2</v>
      </c>
      <c r="J121" s="68">
        <v>22</v>
      </c>
      <c r="K121" s="9">
        <f t="shared" si="28"/>
        <v>0.29411764705882359</v>
      </c>
      <c r="L121" s="68">
        <v>541</v>
      </c>
      <c r="M121" s="9">
        <f t="shared" si="29"/>
        <v>-0.22824536376604854</v>
      </c>
      <c r="N121" s="143">
        <v>588</v>
      </c>
      <c r="O121" s="9">
        <f t="shared" si="25"/>
        <v>9.9065420560747741E-2</v>
      </c>
      <c r="P121" s="103">
        <v>320</v>
      </c>
      <c r="Q121" s="9">
        <f t="shared" si="15"/>
        <v>0.16363636363636358</v>
      </c>
      <c r="R121" s="68">
        <v>256</v>
      </c>
      <c r="S121" s="9">
        <f t="shared" si="30"/>
        <v>-0.26436781609195403</v>
      </c>
      <c r="T121" s="68">
        <v>438</v>
      </c>
      <c r="U121" s="9">
        <f t="shared" si="17"/>
        <v>2.3953488372093021</v>
      </c>
      <c r="V121" s="412"/>
      <c r="W121" s="422"/>
      <c r="X121" s="412"/>
      <c r="Y121" s="422"/>
      <c r="Z121" s="68">
        <v>22</v>
      </c>
      <c r="AA121" s="9">
        <f t="shared" si="23"/>
        <v>-0.29032258064516125</v>
      </c>
      <c r="AB121" s="412">
        <v>44339</v>
      </c>
      <c r="AC121" s="422"/>
    </row>
    <row r="122" spans="1:29" s="152" customFormat="1" ht="14.25" customHeight="1">
      <c r="A122" s="461"/>
      <c r="B122" s="73" t="s">
        <v>27</v>
      </c>
      <c r="C122" s="68">
        <v>1195238</v>
      </c>
      <c r="D122" s="9">
        <f t="shared" si="31"/>
        <v>0.12789265732385022</v>
      </c>
      <c r="E122" s="178"/>
      <c r="F122" s="68">
        <v>15449</v>
      </c>
      <c r="G122" s="9">
        <f t="shared" si="27"/>
        <v>0.21007284405106907</v>
      </c>
      <c r="H122" s="75">
        <v>117500</v>
      </c>
      <c r="I122" s="9">
        <f t="shared" si="32"/>
        <v>0.18067906630894592</v>
      </c>
      <c r="J122" s="68">
        <v>41</v>
      </c>
      <c r="K122" s="9">
        <f t="shared" si="28"/>
        <v>0.86363636363636354</v>
      </c>
      <c r="L122" s="68">
        <v>479</v>
      </c>
      <c r="M122" s="9">
        <f t="shared" si="29"/>
        <v>-0.20563847429519067</v>
      </c>
      <c r="N122" s="143">
        <v>516</v>
      </c>
      <c r="O122" s="9">
        <f t="shared" si="25"/>
        <v>-0.24229074889867841</v>
      </c>
      <c r="P122" s="103">
        <v>249</v>
      </c>
      <c r="Q122" s="9">
        <f t="shared" si="15"/>
        <v>0.19138755980861255</v>
      </c>
      <c r="R122" s="68">
        <v>302</v>
      </c>
      <c r="S122" s="9">
        <f t="shared" si="30"/>
        <v>-0.15406162464985995</v>
      </c>
      <c r="T122" s="68">
        <v>105</v>
      </c>
      <c r="U122" s="9">
        <f t="shared" si="17"/>
        <v>-0.46153846153846156</v>
      </c>
      <c r="V122" s="412"/>
      <c r="W122" s="422"/>
      <c r="X122" s="412"/>
      <c r="Y122" s="422"/>
      <c r="Z122" s="68">
        <v>20</v>
      </c>
      <c r="AA122" s="9">
        <f t="shared" si="23"/>
        <v>-0.41176470588235292</v>
      </c>
      <c r="AB122" s="412">
        <v>44339</v>
      </c>
      <c r="AC122" s="422"/>
    </row>
    <row r="123" spans="1:29" s="152" customFormat="1" ht="14.25" customHeight="1">
      <c r="A123" s="461"/>
      <c r="B123" s="15" t="s">
        <v>28</v>
      </c>
      <c r="C123" s="5">
        <v>1239143</v>
      </c>
      <c r="D123" s="9">
        <f t="shared" si="31"/>
        <v>7.3090785647356729E-2</v>
      </c>
      <c r="E123" s="178"/>
      <c r="F123" s="5">
        <v>12088</v>
      </c>
      <c r="G123" s="9">
        <f t="shared" si="27"/>
        <v>-6.4929727952658389E-3</v>
      </c>
      <c r="H123" s="53">
        <v>110409</v>
      </c>
      <c r="I123" s="9">
        <f t="shared" si="32"/>
        <v>8.5218057971869099E-2</v>
      </c>
      <c r="J123" s="5">
        <v>10</v>
      </c>
      <c r="K123" s="9">
        <f t="shared" si="28"/>
        <v>-0.73684210526315796</v>
      </c>
      <c r="L123" s="68">
        <v>443</v>
      </c>
      <c r="M123" s="9">
        <f t="shared" si="29"/>
        <v>-0.21314387211367669</v>
      </c>
      <c r="N123" s="100">
        <v>772</v>
      </c>
      <c r="O123" s="9">
        <f t="shared" si="25"/>
        <v>7.3713490959666172E-2</v>
      </c>
      <c r="P123" s="103">
        <v>223</v>
      </c>
      <c r="Q123" s="9">
        <f t="shared" si="15"/>
        <v>-7.8512396694214837E-2</v>
      </c>
      <c r="R123" s="5">
        <v>257</v>
      </c>
      <c r="S123" s="9">
        <f t="shared" si="30"/>
        <v>-0.21165644171779141</v>
      </c>
      <c r="T123" s="5">
        <v>140</v>
      </c>
      <c r="U123" s="9">
        <f t="shared" si="17"/>
        <v>-5.4054054054054057E-2</v>
      </c>
      <c r="V123" s="412"/>
      <c r="W123" s="422"/>
      <c r="X123" s="412"/>
      <c r="Y123" s="422"/>
      <c r="Z123" s="5">
        <v>23</v>
      </c>
      <c r="AA123" s="9">
        <f t="shared" si="23"/>
        <v>-0.34285714285714286</v>
      </c>
      <c r="AB123" s="412">
        <v>44339</v>
      </c>
      <c r="AC123" s="422"/>
    </row>
    <row r="124" spans="1:29" s="152" customFormat="1" ht="14.25" customHeight="1">
      <c r="A124" s="461"/>
      <c r="B124" s="15" t="s">
        <v>29</v>
      </c>
      <c r="C124" s="5">
        <v>1154064</v>
      </c>
      <c r="D124" s="9">
        <f t="shared" si="31"/>
        <v>3.2673258467182678E-2</v>
      </c>
      <c r="E124" s="178"/>
      <c r="F124" s="5">
        <v>6684</v>
      </c>
      <c r="G124" s="9">
        <f t="shared" si="27"/>
        <v>-1.1096316023080366E-2</v>
      </c>
      <c r="H124" s="53">
        <v>102836</v>
      </c>
      <c r="I124" s="9">
        <f t="shared" si="32"/>
        <v>6.7638417375234905E-2</v>
      </c>
      <c r="J124" s="5">
        <v>23</v>
      </c>
      <c r="K124" s="9">
        <f t="shared" si="28"/>
        <v>0.14999999999999991</v>
      </c>
      <c r="L124" s="68">
        <v>494</v>
      </c>
      <c r="M124" s="9">
        <f t="shared" si="29"/>
        <v>-8.687615526802217E-2</v>
      </c>
      <c r="N124" s="100">
        <v>965</v>
      </c>
      <c r="O124" s="9">
        <f t="shared" si="25"/>
        <v>-0.17024935511607908</v>
      </c>
      <c r="P124" s="103">
        <v>328</v>
      </c>
      <c r="Q124" s="9">
        <f t="shared" si="15"/>
        <v>8.6092715231788075E-2</v>
      </c>
      <c r="R124" s="5">
        <v>295</v>
      </c>
      <c r="S124" s="9">
        <f t="shared" si="30"/>
        <v>-0.21542553191489366</v>
      </c>
      <c r="T124" s="5">
        <v>241</v>
      </c>
      <c r="U124" s="9">
        <f t="shared" si="17"/>
        <v>0.40935672514619892</v>
      </c>
      <c r="V124" s="412"/>
      <c r="W124" s="422"/>
      <c r="X124" s="412"/>
      <c r="Y124" s="422"/>
      <c r="Z124" s="5">
        <v>24</v>
      </c>
      <c r="AA124" s="9">
        <f t="shared" si="23"/>
        <v>-0.35135135135135132</v>
      </c>
      <c r="AB124" s="412">
        <v>44339</v>
      </c>
      <c r="AC124" s="422"/>
    </row>
    <row r="125" spans="1:29" s="152" customFormat="1" ht="14.25" customHeight="1">
      <c r="A125" s="462"/>
      <c r="B125" s="41" t="s">
        <v>30</v>
      </c>
      <c r="C125" s="5">
        <v>1204463</v>
      </c>
      <c r="D125" s="9">
        <f t="shared" si="31"/>
        <v>2.9481952528697317E-2</v>
      </c>
      <c r="E125" s="178"/>
      <c r="F125" s="5">
        <v>9816</v>
      </c>
      <c r="G125" s="9">
        <f t="shared" si="27"/>
        <v>-6.4786585365853688E-2</v>
      </c>
      <c r="H125" s="53">
        <v>121233</v>
      </c>
      <c r="I125" s="9">
        <f t="shared" si="32"/>
        <v>7.0452257756900449E-2</v>
      </c>
      <c r="J125" s="5">
        <v>22</v>
      </c>
      <c r="K125" s="9">
        <f t="shared" si="28"/>
        <v>-0.3125</v>
      </c>
      <c r="L125" s="68">
        <v>1004</v>
      </c>
      <c r="M125" s="19">
        <f>(L125/L113-1)</f>
        <v>0.32804232804232814</v>
      </c>
      <c r="N125" s="100">
        <v>1053</v>
      </c>
      <c r="O125" s="19">
        <f t="shared" si="25"/>
        <v>-1.6806722689075682E-2</v>
      </c>
      <c r="P125" s="103">
        <v>318</v>
      </c>
      <c r="Q125" s="9">
        <f t="shared" si="15"/>
        <v>-0.156498673740053</v>
      </c>
      <c r="R125" s="5">
        <v>291</v>
      </c>
      <c r="S125" s="9">
        <f t="shared" si="30"/>
        <v>-0.18487394957983194</v>
      </c>
      <c r="T125" s="5">
        <v>210</v>
      </c>
      <c r="U125" s="19">
        <f t="shared" si="17"/>
        <v>0.25</v>
      </c>
      <c r="V125" s="413"/>
      <c r="W125" s="423"/>
      <c r="X125" s="413"/>
      <c r="Y125" s="423"/>
      <c r="Z125" s="5">
        <v>32</v>
      </c>
      <c r="AA125" s="19">
        <f t="shared" si="23"/>
        <v>0.18518518518518512</v>
      </c>
      <c r="AB125" s="413">
        <v>44339</v>
      </c>
      <c r="AC125" s="423"/>
    </row>
    <row r="126" spans="1:29" s="152" customFormat="1" ht="13.5">
      <c r="A126" s="457" t="s">
        <v>87</v>
      </c>
      <c r="B126" s="2" t="s">
        <v>35</v>
      </c>
      <c r="C126" s="25">
        <v>1468903</v>
      </c>
      <c r="D126" s="24">
        <f t="shared" si="31"/>
        <v>3.0158496388246019E-2</v>
      </c>
      <c r="E126" s="178"/>
      <c r="F126" s="25">
        <v>9778</v>
      </c>
      <c r="G126" s="24">
        <f t="shared" ref="G126:G147" si="33">F126/F114-1</f>
        <v>3.4599513279018002E-2</v>
      </c>
      <c r="H126" s="271">
        <v>143203</v>
      </c>
      <c r="I126" s="24">
        <f t="shared" si="32"/>
        <v>0.13335654871669056</v>
      </c>
      <c r="J126" s="25">
        <v>37</v>
      </c>
      <c r="K126" s="24">
        <f t="shared" ref="K126:K148" si="34">J126/J114-1</f>
        <v>1.8461538461538463</v>
      </c>
      <c r="L126" s="25">
        <v>1046</v>
      </c>
      <c r="M126" s="24">
        <f t="shared" ref="M126:M137" si="35">L126/L114-1</f>
        <v>1.8500486854917231E-2</v>
      </c>
      <c r="N126" s="25">
        <v>1979</v>
      </c>
      <c r="O126" s="24">
        <f t="shared" ref="O126:O145" si="36">N126/N114-1</f>
        <v>5.8288770053475991E-2</v>
      </c>
      <c r="P126" s="25">
        <v>430</v>
      </c>
      <c r="Q126" s="24">
        <f t="shared" ref="Q126:Q143" si="37">P126/P114-1</f>
        <v>0.11688311688311681</v>
      </c>
      <c r="R126" s="25">
        <v>346</v>
      </c>
      <c r="S126" s="24">
        <f t="shared" si="30"/>
        <v>-0.1328320802005013</v>
      </c>
      <c r="T126" s="25">
        <v>188</v>
      </c>
      <c r="U126" s="24">
        <f t="shared" si="17"/>
        <v>-0.10476190476190472</v>
      </c>
      <c r="V126" s="411">
        <v>12915</v>
      </c>
      <c r="W126" s="421">
        <f>(V126/V114-1)</f>
        <v>0.15570469798657727</v>
      </c>
      <c r="X126" s="411">
        <v>75090</v>
      </c>
      <c r="Y126" s="421">
        <f>(X126/X114-1)</f>
        <v>0.26736316224746415</v>
      </c>
      <c r="Z126" s="25"/>
      <c r="AA126" s="24"/>
      <c r="AB126" s="411">
        <v>45522</v>
      </c>
      <c r="AC126" s="421">
        <f>AB126/AB114-1</f>
        <v>2.6680800198470855E-2</v>
      </c>
    </row>
    <row r="127" spans="1:29" s="152" customFormat="1" ht="13.5">
      <c r="A127" s="461"/>
      <c r="B127" s="15" t="s">
        <v>36</v>
      </c>
      <c r="C127" s="3">
        <v>1312683</v>
      </c>
      <c r="D127" s="9">
        <f t="shared" ref="D127:D137" si="38">C127/C115-1</f>
        <v>0.10792981472931884</v>
      </c>
      <c r="E127" s="178"/>
      <c r="F127" s="5">
        <v>8127</v>
      </c>
      <c r="G127" s="74">
        <f t="shared" si="33"/>
        <v>6.7656332107199235E-2</v>
      </c>
      <c r="H127" s="272">
        <v>82939</v>
      </c>
      <c r="I127" s="74">
        <f t="shared" ref="I127:I156" si="39">H127/H115-1</f>
        <v>-4.7761742385102002E-2</v>
      </c>
      <c r="J127" s="3">
        <v>71</v>
      </c>
      <c r="K127" s="9">
        <f t="shared" si="34"/>
        <v>1.1515151515151514</v>
      </c>
      <c r="L127" s="68">
        <v>616</v>
      </c>
      <c r="M127" s="9">
        <f t="shared" si="35"/>
        <v>3.2573289902280145E-3</v>
      </c>
      <c r="N127" s="98">
        <v>1285</v>
      </c>
      <c r="O127" s="9">
        <f t="shared" si="36"/>
        <v>0.17998163452708904</v>
      </c>
      <c r="P127" s="98">
        <v>278</v>
      </c>
      <c r="Q127" s="9">
        <f t="shared" si="37"/>
        <v>0.12550607287449389</v>
      </c>
      <c r="R127" s="3">
        <v>357</v>
      </c>
      <c r="S127" s="9">
        <f t="shared" si="30"/>
        <v>-0.16000000000000003</v>
      </c>
      <c r="T127" s="3">
        <v>272</v>
      </c>
      <c r="U127" s="9">
        <f t="shared" si="17"/>
        <v>0.54545454545454541</v>
      </c>
      <c r="V127" s="412"/>
      <c r="W127" s="504"/>
      <c r="X127" s="412"/>
      <c r="Y127" s="422"/>
      <c r="Z127" s="3"/>
      <c r="AA127" s="9"/>
      <c r="AB127" s="412"/>
      <c r="AC127" s="422"/>
    </row>
    <row r="128" spans="1:29" s="152" customFormat="1" ht="13.5">
      <c r="A128" s="461"/>
      <c r="B128" s="15" t="s">
        <v>21</v>
      </c>
      <c r="C128" s="3">
        <v>1150959</v>
      </c>
      <c r="D128" s="9">
        <f t="shared" si="38"/>
        <v>3.3226924824004023E-2</v>
      </c>
      <c r="E128" s="178"/>
      <c r="F128" s="5">
        <v>7440</v>
      </c>
      <c r="G128" s="74">
        <f t="shared" si="33"/>
        <v>0</v>
      </c>
      <c r="H128" s="272">
        <v>95627</v>
      </c>
      <c r="I128" s="74">
        <f t="shared" si="39"/>
        <v>0.11143783633003634</v>
      </c>
      <c r="J128" s="3">
        <v>28</v>
      </c>
      <c r="K128" s="9">
        <f t="shared" si="34"/>
        <v>-6.6666666666666652E-2</v>
      </c>
      <c r="L128" s="68">
        <v>681</v>
      </c>
      <c r="M128" s="9">
        <f t="shared" si="35"/>
        <v>-0.20070422535211263</v>
      </c>
      <c r="N128" s="98">
        <v>1302</v>
      </c>
      <c r="O128" s="9">
        <f t="shared" si="36"/>
        <v>0.16981132075471694</v>
      </c>
      <c r="P128" s="98">
        <v>372</v>
      </c>
      <c r="Q128" s="9">
        <f t="shared" si="37"/>
        <v>5.6818181818181879E-2</v>
      </c>
      <c r="R128" s="3">
        <v>386</v>
      </c>
      <c r="S128" s="9">
        <f t="shared" si="30"/>
        <v>4.3243243243243246E-2</v>
      </c>
      <c r="T128" s="3">
        <v>182</v>
      </c>
      <c r="U128" s="9">
        <f t="shared" si="17"/>
        <v>-0.27777777777777779</v>
      </c>
      <c r="V128" s="412"/>
      <c r="W128" s="504"/>
      <c r="X128" s="412"/>
      <c r="Y128" s="422"/>
      <c r="Z128" s="3"/>
      <c r="AA128" s="9"/>
      <c r="AB128" s="412"/>
      <c r="AC128" s="422"/>
    </row>
    <row r="129" spans="1:29" s="152" customFormat="1" ht="13.5">
      <c r="A129" s="461"/>
      <c r="B129" s="73" t="s">
        <v>22</v>
      </c>
      <c r="C129" s="3">
        <v>1179885</v>
      </c>
      <c r="D129" s="9">
        <f t="shared" si="38"/>
        <v>7.514442966229895E-2</v>
      </c>
      <c r="E129" s="178"/>
      <c r="F129" s="5">
        <v>9602</v>
      </c>
      <c r="G129" s="74">
        <f t="shared" si="33"/>
        <v>0.20719135026401814</v>
      </c>
      <c r="H129" s="273">
        <v>106781</v>
      </c>
      <c r="I129" s="74">
        <f t="shared" si="39"/>
        <v>0.19918018979167829</v>
      </c>
      <c r="J129" s="3">
        <v>22</v>
      </c>
      <c r="K129" s="9">
        <f t="shared" si="34"/>
        <v>-0.38888888888888884</v>
      </c>
      <c r="L129" s="68">
        <v>938</v>
      </c>
      <c r="M129" s="9">
        <f t="shared" si="35"/>
        <v>0.4818325434439179</v>
      </c>
      <c r="N129" s="98">
        <v>1013</v>
      </c>
      <c r="O129" s="9">
        <f t="shared" si="36"/>
        <v>0.14076576576576572</v>
      </c>
      <c r="P129" s="98">
        <v>295</v>
      </c>
      <c r="Q129" s="9">
        <f t="shared" si="37"/>
        <v>0.34090909090909083</v>
      </c>
      <c r="R129" s="3">
        <v>255</v>
      </c>
      <c r="S129" s="9">
        <f t="shared" si="30"/>
        <v>-0.19047619047619047</v>
      </c>
      <c r="T129" s="3">
        <v>54</v>
      </c>
      <c r="U129" s="9">
        <f t="shared" si="17"/>
        <v>-0.65384615384615385</v>
      </c>
      <c r="V129" s="412"/>
      <c r="W129" s="504"/>
      <c r="X129" s="412"/>
      <c r="Y129" s="422"/>
      <c r="Z129" s="3"/>
      <c r="AA129" s="9"/>
      <c r="AB129" s="412"/>
      <c r="AC129" s="422"/>
    </row>
    <row r="130" spans="1:29" s="152" customFormat="1" ht="13.5">
      <c r="A130" s="461"/>
      <c r="B130" s="15" t="s">
        <v>23</v>
      </c>
      <c r="C130" s="3">
        <v>1223003</v>
      </c>
      <c r="D130" s="9">
        <f t="shared" si="38"/>
        <v>3.1717429907921701E-2</v>
      </c>
      <c r="E130" s="178"/>
      <c r="F130" s="5">
        <v>14056</v>
      </c>
      <c r="G130" s="74">
        <f t="shared" si="33"/>
        <v>0.10520522094668983</v>
      </c>
      <c r="H130" s="273">
        <v>117991</v>
      </c>
      <c r="I130" s="74">
        <f t="shared" si="39"/>
        <v>2.6196087981283478E-2</v>
      </c>
      <c r="J130" s="3">
        <v>37</v>
      </c>
      <c r="K130" s="9">
        <f t="shared" si="34"/>
        <v>-0.3392857142857143</v>
      </c>
      <c r="L130" s="68">
        <v>672</v>
      </c>
      <c r="M130" s="9">
        <f t="shared" si="35"/>
        <v>-5.6179775280898903E-2</v>
      </c>
      <c r="N130" s="98">
        <v>660</v>
      </c>
      <c r="O130" s="9">
        <f t="shared" si="36"/>
        <v>-5.8487874465049883E-2</v>
      </c>
      <c r="P130" s="98">
        <v>256</v>
      </c>
      <c r="Q130" s="9">
        <f t="shared" si="37"/>
        <v>-6.2271062271062272E-2</v>
      </c>
      <c r="R130" s="3">
        <v>326</v>
      </c>
      <c r="S130" s="9">
        <f t="shared" si="30"/>
        <v>0.19852941176470584</v>
      </c>
      <c r="T130" s="3">
        <v>158</v>
      </c>
      <c r="U130" s="9">
        <f t="shared" si="17"/>
        <v>0.25396825396825395</v>
      </c>
      <c r="V130" s="412"/>
      <c r="W130" s="504"/>
      <c r="X130" s="412"/>
      <c r="Y130" s="422"/>
      <c r="Z130" s="3"/>
      <c r="AA130" s="9"/>
      <c r="AB130" s="412"/>
      <c r="AC130" s="422"/>
    </row>
    <row r="131" spans="1:29" s="152" customFormat="1" ht="13.5">
      <c r="A131" s="461"/>
      <c r="B131" s="73" t="s">
        <v>24</v>
      </c>
      <c r="C131" s="3">
        <v>1270439</v>
      </c>
      <c r="D131" s="9">
        <f t="shared" si="38"/>
        <v>4.0072337823201298E-2</v>
      </c>
      <c r="E131" s="178"/>
      <c r="F131" s="5">
        <v>18527</v>
      </c>
      <c r="G131" s="74">
        <f t="shared" si="33"/>
        <v>6.2267071842210919E-2</v>
      </c>
      <c r="H131" s="273">
        <v>131071</v>
      </c>
      <c r="I131" s="74">
        <f t="shared" si="39"/>
        <v>4.5314979782915543E-2</v>
      </c>
      <c r="J131" s="3">
        <v>54</v>
      </c>
      <c r="K131" s="9">
        <f t="shared" si="34"/>
        <v>-8.4745762711864403E-2</v>
      </c>
      <c r="L131" s="68">
        <v>699</v>
      </c>
      <c r="M131" s="9">
        <f t="shared" si="35"/>
        <v>-3.7190082644628086E-2</v>
      </c>
      <c r="N131" s="98">
        <v>673</v>
      </c>
      <c r="O131" s="9">
        <f t="shared" si="36"/>
        <v>0.21480144404332124</v>
      </c>
      <c r="P131" s="98">
        <v>363</v>
      </c>
      <c r="Q131" s="9">
        <f t="shared" si="37"/>
        <v>0.50622406639004147</v>
      </c>
      <c r="R131" s="3">
        <v>239</v>
      </c>
      <c r="S131" s="187">
        <f t="shared" si="30"/>
        <v>-0.16724738675958184</v>
      </c>
      <c r="T131" s="3">
        <v>150</v>
      </c>
      <c r="U131" s="9">
        <f t="shared" si="17"/>
        <v>-0.47552447552447552</v>
      </c>
      <c r="V131" s="412"/>
      <c r="W131" s="504"/>
      <c r="X131" s="412"/>
      <c r="Y131" s="422"/>
      <c r="Z131" s="3"/>
      <c r="AA131" s="9"/>
      <c r="AB131" s="412"/>
      <c r="AC131" s="422"/>
    </row>
    <row r="132" spans="1:29" s="152" customFormat="1" ht="13.5">
      <c r="A132" s="461"/>
      <c r="B132" s="15" t="s">
        <v>25</v>
      </c>
      <c r="C132" s="3">
        <v>1454795</v>
      </c>
      <c r="D132" s="9">
        <f t="shared" si="38"/>
        <v>2.6366882974865558E-2</v>
      </c>
      <c r="E132" s="178"/>
      <c r="F132" s="5">
        <v>25381</v>
      </c>
      <c r="G132" s="74">
        <f t="shared" si="33"/>
        <v>0.16458658346333843</v>
      </c>
      <c r="H132" s="273">
        <v>145375</v>
      </c>
      <c r="I132" s="74">
        <f t="shared" si="39"/>
        <v>7.2822261023808288E-3</v>
      </c>
      <c r="J132" s="3">
        <v>32</v>
      </c>
      <c r="K132" s="9">
        <f t="shared" si="34"/>
        <v>0.33333333333333326</v>
      </c>
      <c r="L132" s="68">
        <v>820</v>
      </c>
      <c r="M132" s="9">
        <f t="shared" si="35"/>
        <v>0.24809741248097406</v>
      </c>
      <c r="N132" s="98">
        <v>803</v>
      </c>
      <c r="O132" s="9">
        <f t="shared" si="36"/>
        <v>0.22222222222222232</v>
      </c>
      <c r="P132" s="98">
        <v>316</v>
      </c>
      <c r="Q132" s="187">
        <f t="shared" si="37"/>
        <v>-3.0674846625766916E-2</v>
      </c>
      <c r="R132" s="3">
        <v>325</v>
      </c>
      <c r="S132" s="187">
        <f t="shared" si="30"/>
        <v>4.5016077170418001E-2</v>
      </c>
      <c r="T132" s="3">
        <v>136</v>
      </c>
      <c r="U132" s="9">
        <f t="shared" si="17"/>
        <v>-0.39823008849557517</v>
      </c>
      <c r="V132" s="412"/>
      <c r="W132" s="504"/>
      <c r="X132" s="412"/>
      <c r="Y132" s="422"/>
      <c r="Z132" s="3"/>
      <c r="AA132" s="9"/>
      <c r="AB132" s="412"/>
      <c r="AC132" s="422"/>
    </row>
    <row r="133" spans="1:29" s="152" customFormat="1" ht="13.5">
      <c r="A133" s="461"/>
      <c r="B133" s="73" t="s">
        <v>26</v>
      </c>
      <c r="C133" s="3">
        <v>1547193</v>
      </c>
      <c r="D133" s="9">
        <f t="shared" si="38"/>
        <v>9.9494309920650226E-2</v>
      </c>
      <c r="E133" s="178"/>
      <c r="F133" s="5">
        <v>17794</v>
      </c>
      <c r="G133" s="74">
        <f t="shared" si="33"/>
        <v>0.1030250433920159</v>
      </c>
      <c r="H133" s="273">
        <v>146537</v>
      </c>
      <c r="I133" s="74">
        <f t="shared" si="39"/>
        <v>8.7731409314271369E-2</v>
      </c>
      <c r="J133" s="3">
        <v>28</v>
      </c>
      <c r="K133" s="9">
        <f t="shared" si="34"/>
        <v>0.27272727272727271</v>
      </c>
      <c r="L133" s="68">
        <v>1054</v>
      </c>
      <c r="M133" s="9">
        <f t="shared" si="35"/>
        <v>0.94824399260628467</v>
      </c>
      <c r="N133" s="98">
        <v>704</v>
      </c>
      <c r="O133" s="9">
        <f t="shared" si="36"/>
        <v>0.19727891156462585</v>
      </c>
      <c r="P133" s="98">
        <v>397</v>
      </c>
      <c r="Q133" s="187">
        <f t="shared" si="37"/>
        <v>0.24062500000000009</v>
      </c>
      <c r="R133" s="3">
        <v>324</v>
      </c>
      <c r="S133" s="187">
        <f t="shared" si="30"/>
        <v>0.265625</v>
      </c>
      <c r="T133" s="3">
        <v>201</v>
      </c>
      <c r="U133" s="9">
        <f t="shared" si="17"/>
        <v>-0.54109589041095885</v>
      </c>
      <c r="V133" s="412"/>
      <c r="W133" s="504"/>
      <c r="X133" s="412"/>
      <c r="Y133" s="422"/>
      <c r="Z133" s="3"/>
      <c r="AA133" s="9"/>
      <c r="AB133" s="412"/>
      <c r="AC133" s="422"/>
    </row>
    <row r="134" spans="1:29" s="152" customFormat="1" ht="13.5">
      <c r="A134" s="461"/>
      <c r="B134" s="73" t="s">
        <v>27</v>
      </c>
      <c r="C134" s="3">
        <v>1321293</v>
      </c>
      <c r="D134" s="9">
        <f t="shared" si="38"/>
        <v>0.10546435103301599</v>
      </c>
      <c r="E134" s="178"/>
      <c r="F134" s="5">
        <v>17786</v>
      </c>
      <c r="G134" s="74">
        <f t="shared" si="33"/>
        <v>0.15127192698556535</v>
      </c>
      <c r="H134" s="273">
        <v>118266</v>
      </c>
      <c r="I134" s="74">
        <f t="shared" si="39"/>
        <v>6.5191489361702271E-3</v>
      </c>
      <c r="J134" s="3">
        <v>15</v>
      </c>
      <c r="K134" s="9">
        <f t="shared" si="34"/>
        <v>-0.63414634146341464</v>
      </c>
      <c r="L134" s="68">
        <v>708</v>
      </c>
      <c r="M134" s="9">
        <f t="shared" si="35"/>
        <v>0.47807933194154484</v>
      </c>
      <c r="N134" s="98">
        <v>680</v>
      </c>
      <c r="O134" s="9">
        <f t="shared" si="36"/>
        <v>0.31782945736434098</v>
      </c>
      <c r="P134" s="98">
        <v>275</v>
      </c>
      <c r="Q134" s="187">
        <f t="shared" si="37"/>
        <v>0.10441767068273089</v>
      </c>
      <c r="R134" s="3">
        <v>245</v>
      </c>
      <c r="S134" s="187">
        <f t="shared" si="30"/>
        <v>-0.1887417218543046</v>
      </c>
      <c r="T134" s="3"/>
      <c r="U134" s="9"/>
      <c r="V134" s="412"/>
      <c r="W134" s="504"/>
      <c r="X134" s="412"/>
      <c r="Y134" s="422"/>
      <c r="Z134" s="3"/>
      <c r="AA134" s="9"/>
      <c r="AB134" s="412"/>
      <c r="AC134" s="422"/>
    </row>
    <row r="135" spans="1:29" s="152" customFormat="1" ht="13.5">
      <c r="A135" s="461"/>
      <c r="B135" s="15" t="s">
        <v>28</v>
      </c>
      <c r="C135" s="3">
        <v>1432100</v>
      </c>
      <c r="D135" s="9">
        <f t="shared" si="38"/>
        <v>0.15571810517430196</v>
      </c>
      <c r="E135" s="178"/>
      <c r="F135" s="5">
        <v>15801</v>
      </c>
      <c r="G135" s="74">
        <f t="shared" si="33"/>
        <v>0.30716412971542018</v>
      </c>
      <c r="H135" s="273">
        <v>125451</v>
      </c>
      <c r="I135" s="74">
        <f t="shared" si="39"/>
        <v>0.13623889356845909</v>
      </c>
      <c r="J135" s="3">
        <v>26</v>
      </c>
      <c r="K135" s="9">
        <f t="shared" si="34"/>
        <v>1.6</v>
      </c>
      <c r="L135" s="68">
        <v>695</v>
      </c>
      <c r="M135" s="9">
        <f t="shared" si="35"/>
        <v>0.56884875846501126</v>
      </c>
      <c r="N135" s="98">
        <v>1019</v>
      </c>
      <c r="O135" s="9">
        <f t="shared" si="36"/>
        <v>0.31994818652849744</v>
      </c>
      <c r="P135" s="98">
        <v>298</v>
      </c>
      <c r="Q135" s="187">
        <f t="shared" si="37"/>
        <v>0.33632286995515703</v>
      </c>
      <c r="R135" s="3">
        <v>331</v>
      </c>
      <c r="S135" s="187">
        <f t="shared" si="30"/>
        <v>0.28793774319066157</v>
      </c>
      <c r="T135" s="3"/>
      <c r="U135" s="9"/>
      <c r="V135" s="412"/>
      <c r="W135" s="504"/>
      <c r="X135" s="412"/>
      <c r="Y135" s="422"/>
      <c r="Z135" s="3"/>
      <c r="AA135" s="9"/>
      <c r="AB135" s="412"/>
      <c r="AC135" s="422"/>
    </row>
    <row r="136" spans="1:29" s="152" customFormat="1" ht="13.5">
      <c r="A136" s="461"/>
      <c r="B136" s="15" t="s">
        <v>29</v>
      </c>
      <c r="C136" s="3">
        <v>1288754</v>
      </c>
      <c r="D136" s="9">
        <f t="shared" si="38"/>
        <v>0.11670929861775425</v>
      </c>
      <c r="E136" s="178"/>
      <c r="F136" s="5">
        <v>7528</v>
      </c>
      <c r="G136" s="74">
        <f t="shared" si="33"/>
        <v>0.1262716935966488</v>
      </c>
      <c r="H136" s="273">
        <v>104323</v>
      </c>
      <c r="I136" s="74">
        <f t="shared" si="39"/>
        <v>1.445991676066738E-2</v>
      </c>
      <c r="J136" s="3">
        <v>38</v>
      </c>
      <c r="K136" s="9">
        <f t="shared" si="34"/>
        <v>0.65217391304347827</v>
      </c>
      <c r="L136" s="68">
        <v>750</v>
      </c>
      <c r="M136" s="9">
        <f t="shared" si="35"/>
        <v>0.51821862348178138</v>
      </c>
      <c r="N136" s="98">
        <v>1240</v>
      </c>
      <c r="O136" s="9">
        <f t="shared" si="36"/>
        <v>0.28497409326424861</v>
      </c>
      <c r="P136" s="98">
        <v>299</v>
      </c>
      <c r="Q136" s="187">
        <f t="shared" si="37"/>
        <v>-8.8414634146341431E-2</v>
      </c>
      <c r="R136" s="3">
        <v>361</v>
      </c>
      <c r="S136" s="187">
        <f t="shared" si="30"/>
        <v>0.22372881355932206</v>
      </c>
      <c r="T136" s="3"/>
      <c r="U136" s="9"/>
      <c r="V136" s="412"/>
      <c r="W136" s="504"/>
      <c r="X136" s="412"/>
      <c r="Y136" s="422"/>
      <c r="Z136" s="3"/>
      <c r="AA136" s="9"/>
      <c r="AB136" s="412"/>
      <c r="AC136" s="422"/>
    </row>
    <row r="137" spans="1:29" s="152" customFormat="1" ht="13.5">
      <c r="A137" s="462"/>
      <c r="B137" s="41" t="s">
        <v>30</v>
      </c>
      <c r="C137" s="3">
        <v>1430677</v>
      </c>
      <c r="D137" s="9">
        <f t="shared" si="38"/>
        <v>0.18781315822901989</v>
      </c>
      <c r="E137" s="178"/>
      <c r="F137" s="68">
        <v>10716</v>
      </c>
      <c r="G137" s="85">
        <f>F137/F125-1</f>
        <v>9.1687041564792127E-2</v>
      </c>
      <c r="H137" s="273">
        <v>131974</v>
      </c>
      <c r="I137" s="85">
        <f t="shared" si="39"/>
        <v>8.859798899639526E-2</v>
      </c>
      <c r="J137" s="3">
        <v>37</v>
      </c>
      <c r="K137" s="188">
        <f t="shared" si="34"/>
        <v>0.68181818181818188</v>
      </c>
      <c r="L137" s="68">
        <v>1171</v>
      </c>
      <c r="M137" s="188">
        <f t="shared" si="35"/>
        <v>0.16633466135458175</v>
      </c>
      <c r="N137" s="98">
        <v>1273</v>
      </c>
      <c r="O137" s="199">
        <f t="shared" si="36"/>
        <v>0.20892687559354228</v>
      </c>
      <c r="P137" s="98">
        <v>373</v>
      </c>
      <c r="Q137" s="188">
        <f t="shared" si="37"/>
        <v>0.17295597484276737</v>
      </c>
      <c r="R137" s="3">
        <v>385</v>
      </c>
      <c r="S137" s="188">
        <f t="shared" si="30"/>
        <v>0.32302405498281783</v>
      </c>
      <c r="T137" s="3"/>
      <c r="U137" s="9"/>
      <c r="V137" s="413"/>
      <c r="W137" s="505"/>
      <c r="X137" s="413"/>
      <c r="Y137" s="423"/>
      <c r="Z137" s="3"/>
      <c r="AA137" s="9"/>
      <c r="AB137" s="413"/>
      <c r="AC137" s="423"/>
    </row>
    <row r="138" spans="1:29" s="152" customFormat="1" ht="13.5">
      <c r="A138" s="457" t="s">
        <v>99</v>
      </c>
      <c r="B138" s="2" t="s">
        <v>35</v>
      </c>
      <c r="C138" s="25">
        <v>1834538</v>
      </c>
      <c r="D138" s="24">
        <f t="shared" ref="D138:D148" si="40">(C138-C126)/C126</f>
        <v>0.24891704898145078</v>
      </c>
      <c r="E138" s="178"/>
      <c r="F138" s="25">
        <v>10382</v>
      </c>
      <c r="G138" s="74">
        <f t="shared" si="33"/>
        <v>6.1771323379014031E-2</v>
      </c>
      <c r="H138" s="25">
        <v>158920</v>
      </c>
      <c r="I138" s="74">
        <f t="shared" si="39"/>
        <v>0.10975328729146727</v>
      </c>
      <c r="J138" s="25">
        <v>77</v>
      </c>
      <c r="K138" s="200">
        <f t="shared" si="34"/>
        <v>1.0810810810810811</v>
      </c>
      <c r="L138" s="25">
        <v>1298</v>
      </c>
      <c r="M138" s="223">
        <f t="shared" ref="M138:M144" si="41">L138/L126-1</f>
        <v>0.24091778202676872</v>
      </c>
      <c r="N138" s="25">
        <v>3015</v>
      </c>
      <c r="O138" s="198">
        <f t="shared" si="36"/>
        <v>0.52349671551288535</v>
      </c>
      <c r="P138" s="25">
        <v>461</v>
      </c>
      <c r="Q138" s="227">
        <f t="shared" si="37"/>
        <v>7.2093023255813904E-2</v>
      </c>
      <c r="R138" s="247">
        <v>439</v>
      </c>
      <c r="S138" s="290">
        <f>R138/R126-1</f>
        <v>0.26878612716762995</v>
      </c>
      <c r="T138" s="25"/>
      <c r="U138" s="28"/>
      <c r="V138" s="411">
        <v>12577</v>
      </c>
      <c r="W138" s="421"/>
      <c r="X138" s="277">
        <v>7594</v>
      </c>
      <c r="Y138" s="421">
        <f>SUM(X138:X149)/X126-1</f>
        <v>0.27092821946996937</v>
      </c>
      <c r="Z138" s="25"/>
      <c r="AA138" s="24"/>
      <c r="AB138" s="25"/>
      <c r="AC138" s="189"/>
    </row>
    <row r="139" spans="1:29" s="152" customFormat="1" ht="13.5">
      <c r="A139" s="461"/>
      <c r="B139" s="15" t="s">
        <v>36</v>
      </c>
      <c r="C139" s="3">
        <v>1445609</v>
      </c>
      <c r="D139" s="196">
        <f t="shared" si="40"/>
        <v>0.10126283344874581</v>
      </c>
      <c r="E139" s="178"/>
      <c r="F139" s="5">
        <v>8797</v>
      </c>
      <c r="G139" s="74">
        <f t="shared" si="33"/>
        <v>8.2441245231942961E-2</v>
      </c>
      <c r="H139" s="3">
        <v>118487</v>
      </c>
      <c r="I139" s="74">
        <f t="shared" si="39"/>
        <v>0.42860415486080128</v>
      </c>
      <c r="J139" s="3">
        <v>45</v>
      </c>
      <c r="K139" s="219">
        <f t="shared" si="34"/>
        <v>-0.36619718309859151</v>
      </c>
      <c r="L139" s="7">
        <v>682</v>
      </c>
      <c r="M139" s="222">
        <f t="shared" si="41"/>
        <v>0.10714285714285721</v>
      </c>
      <c r="N139" s="3">
        <v>1627</v>
      </c>
      <c r="O139" s="227">
        <f t="shared" si="36"/>
        <v>0.26614785992217893</v>
      </c>
      <c r="P139" s="3">
        <v>432</v>
      </c>
      <c r="Q139" s="227">
        <f t="shared" si="37"/>
        <v>0.55395683453237421</v>
      </c>
      <c r="R139" s="289">
        <v>441</v>
      </c>
      <c r="S139" s="250">
        <f>R139/R127-1</f>
        <v>0.23529411764705888</v>
      </c>
      <c r="T139" s="7"/>
      <c r="U139" s="9"/>
      <c r="V139" s="511"/>
      <c r="W139" s="422"/>
      <c r="X139" s="278">
        <v>6317</v>
      </c>
      <c r="Y139" s="422"/>
      <c r="Z139" s="3"/>
      <c r="AA139" s="74"/>
      <c r="AB139" s="3"/>
      <c r="AC139" s="9"/>
    </row>
    <row r="140" spans="1:29" s="152" customFormat="1" ht="13.5">
      <c r="A140" s="461"/>
      <c r="B140" s="15" t="s">
        <v>21</v>
      </c>
      <c r="C140" s="3">
        <v>1416683</v>
      </c>
      <c r="D140" s="219">
        <f t="shared" si="40"/>
        <v>0.23087182080334748</v>
      </c>
      <c r="E140" s="178"/>
      <c r="F140" s="5">
        <v>8712</v>
      </c>
      <c r="G140" s="74">
        <f t="shared" si="33"/>
        <v>0.17096774193548381</v>
      </c>
      <c r="H140" s="3">
        <v>112599</v>
      </c>
      <c r="I140" s="74">
        <f t="shared" si="39"/>
        <v>0.17748125529400682</v>
      </c>
      <c r="J140" s="3">
        <v>30</v>
      </c>
      <c r="K140" s="221">
        <f t="shared" si="34"/>
        <v>7.1428571428571397E-2</v>
      </c>
      <c r="L140" s="7">
        <v>694</v>
      </c>
      <c r="M140" s="222">
        <f t="shared" si="41"/>
        <v>1.9089574155653377E-2</v>
      </c>
      <c r="N140" s="3">
        <v>1814</v>
      </c>
      <c r="O140" s="227">
        <f t="shared" si="36"/>
        <v>0.39324116743471582</v>
      </c>
      <c r="P140" s="3">
        <v>350</v>
      </c>
      <c r="Q140" s="227">
        <f t="shared" si="37"/>
        <v>-5.9139784946236507E-2</v>
      </c>
      <c r="R140" s="77">
        <v>520</v>
      </c>
      <c r="S140" s="74">
        <f t="shared" si="30"/>
        <v>0.34715025906735741</v>
      </c>
      <c r="T140" s="7"/>
      <c r="U140" s="9"/>
      <c r="V140" s="511"/>
      <c r="W140" s="422"/>
      <c r="X140" s="278">
        <v>8675</v>
      </c>
      <c r="Y140" s="422"/>
      <c r="Z140" s="3"/>
      <c r="AA140" s="74"/>
      <c r="AB140" s="3"/>
      <c r="AC140" s="9"/>
    </row>
    <row r="141" spans="1:29" s="152" customFormat="1" ht="13.5">
      <c r="A141" s="461"/>
      <c r="B141" s="73" t="s">
        <v>22</v>
      </c>
      <c r="C141" s="3">
        <v>1495460</v>
      </c>
      <c r="D141" s="221">
        <f t="shared" si="40"/>
        <v>0.26746250693923562</v>
      </c>
      <c r="E141" s="178"/>
      <c r="F141" s="5">
        <v>10471</v>
      </c>
      <c r="G141" s="74">
        <f t="shared" si="33"/>
        <v>9.0501978754426116E-2</v>
      </c>
      <c r="H141" s="3">
        <v>131509</v>
      </c>
      <c r="I141" s="74">
        <f t="shared" si="39"/>
        <v>0.23157677864039483</v>
      </c>
      <c r="J141" s="3">
        <v>31</v>
      </c>
      <c r="K141" s="221">
        <f t="shared" si="34"/>
        <v>0.40909090909090917</v>
      </c>
      <c r="L141" s="7">
        <v>998</v>
      </c>
      <c r="M141" s="222">
        <f t="shared" si="41"/>
        <v>6.3965884861407307E-2</v>
      </c>
      <c r="N141" s="3">
        <v>1469</v>
      </c>
      <c r="O141" s="227">
        <f t="shared" si="36"/>
        <v>0.45014807502467913</v>
      </c>
      <c r="P141" s="3">
        <v>327</v>
      </c>
      <c r="Q141" s="267">
        <f t="shared" si="37"/>
        <v>0.10847457627118651</v>
      </c>
      <c r="R141" s="77">
        <v>329</v>
      </c>
      <c r="S141" s="74">
        <f t="shared" si="30"/>
        <v>0.29019607843137263</v>
      </c>
      <c r="T141" s="7"/>
      <c r="U141" s="9"/>
      <c r="V141" s="511"/>
      <c r="W141" s="422"/>
      <c r="X141" s="278">
        <v>6945</v>
      </c>
      <c r="Y141" s="422"/>
      <c r="Z141" s="3"/>
      <c r="AA141" s="74"/>
      <c r="AB141" s="3"/>
      <c r="AC141" s="9"/>
    </row>
    <row r="142" spans="1:29" s="152" customFormat="1" ht="13.5">
      <c r="A142" s="461"/>
      <c r="B142" s="15" t="s">
        <v>23</v>
      </c>
      <c r="C142" s="3">
        <v>1579265</v>
      </c>
      <c r="D142" s="225">
        <f t="shared" si="40"/>
        <v>0.29130100253229141</v>
      </c>
      <c r="E142" s="178"/>
      <c r="F142" s="5">
        <v>17761</v>
      </c>
      <c r="G142" s="74">
        <f t="shared" si="33"/>
        <v>0.26358850313033577</v>
      </c>
      <c r="H142" s="3">
        <v>153747</v>
      </c>
      <c r="I142" s="74">
        <f t="shared" si="39"/>
        <v>0.30304006237763903</v>
      </c>
      <c r="J142" s="3">
        <v>26</v>
      </c>
      <c r="K142" s="238">
        <f t="shared" si="34"/>
        <v>-0.29729729729729726</v>
      </c>
      <c r="L142" s="7">
        <v>677</v>
      </c>
      <c r="M142" s="227">
        <f t="shared" si="41"/>
        <v>7.4404761904762751E-3</v>
      </c>
      <c r="N142" s="3">
        <v>726</v>
      </c>
      <c r="O142" s="238">
        <f t="shared" si="36"/>
        <v>0.10000000000000009</v>
      </c>
      <c r="P142" s="3">
        <v>230</v>
      </c>
      <c r="Q142" s="267">
        <f t="shared" si="37"/>
        <v>-0.1015625</v>
      </c>
      <c r="R142" s="77">
        <v>349</v>
      </c>
      <c r="S142" s="74">
        <f t="shared" ref="S142:S149" si="42">R142/R130-1</f>
        <v>7.055214723926384E-2</v>
      </c>
      <c r="T142" s="7"/>
      <c r="U142" s="9"/>
      <c r="V142" s="511"/>
      <c r="W142" s="422"/>
      <c r="X142" s="278">
        <v>7901</v>
      </c>
      <c r="Y142" s="422"/>
      <c r="Z142" s="3"/>
      <c r="AA142" s="74"/>
      <c r="AB142" s="3"/>
      <c r="AC142" s="9"/>
    </row>
    <row r="143" spans="1:29" s="152" customFormat="1" ht="13.5">
      <c r="A143" s="461"/>
      <c r="B143" s="73" t="s">
        <v>24</v>
      </c>
      <c r="C143" s="3">
        <v>1373551</v>
      </c>
      <c r="D143" s="231">
        <f t="shared" si="40"/>
        <v>8.116249579869636E-2</v>
      </c>
      <c r="E143" s="178"/>
      <c r="F143" s="5">
        <v>22963</v>
      </c>
      <c r="G143" s="74">
        <f t="shared" si="33"/>
        <v>0.23943433907270473</v>
      </c>
      <c r="H143" s="3">
        <v>147033</v>
      </c>
      <c r="I143" s="74">
        <f t="shared" si="39"/>
        <v>0.12178132462558455</v>
      </c>
      <c r="J143" s="3">
        <v>23</v>
      </c>
      <c r="K143" s="264">
        <f t="shared" si="34"/>
        <v>-0.57407407407407407</v>
      </c>
      <c r="L143" s="7">
        <v>2902</v>
      </c>
      <c r="M143" s="238">
        <f t="shared" si="41"/>
        <v>3.1516452074391985</v>
      </c>
      <c r="N143" s="3">
        <v>733</v>
      </c>
      <c r="O143" s="264">
        <f t="shared" si="36"/>
        <v>8.9153046062407038E-2</v>
      </c>
      <c r="P143" s="3">
        <v>356</v>
      </c>
      <c r="Q143" s="267">
        <f t="shared" si="37"/>
        <v>-1.9283746556473802E-2</v>
      </c>
      <c r="R143" s="77">
        <v>380</v>
      </c>
      <c r="S143" s="74">
        <f t="shared" si="42"/>
        <v>0.58995815899581583</v>
      </c>
      <c r="T143" s="7"/>
      <c r="U143" s="9"/>
      <c r="V143" s="511"/>
      <c r="W143" s="422"/>
      <c r="X143" s="278">
        <v>7535</v>
      </c>
      <c r="Y143" s="422"/>
      <c r="Z143" s="3"/>
      <c r="AA143" s="74"/>
      <c r="AB143" s="3"/>
      <c r="AC143" s="9"/>
    </row>
    <row r="144" spans="1:29" s="152" customFormat="1" ht="13.5">
      <c r="A144" s="461"/>
      <c r="B144" s="15" t="s">
        <v>25</v>
      </c>
      <c r="C144" s="90">
        <v>1675332</v>
      </c>
      <c r="D144" s="266">
        <f t="shared" si="40"/>
        <v>0.1515931797950914</v>
      </c>
      <c r="E144" s="178"/>
      <c r="F144" s="5">
        <v>29879</v>
      </c>
      <c r="G144" s="74">
        <f t="shared" si="33"/>
        <v>0.17721917970135137</v>
      </c>
      <c r="H144" s="3">
        <v>175018</v>
      </c>
      <c r="I144" s="74">
        <f t="shared" si="39"/>
        <v>0.20390713671539129</v>
      </c>
      <c r="J144" s="3">
        <v>34</v>
      </c>
      <c r="K144" s="267">
        <f t="shared" si="34"/>
        <v>6.25E-2</v>
      </c>
      <c r="L144" s="7">
        <v>889</v>
      </c>
      <c r="M144" s="266">
        <f t="shared" si="41"/>
        <v>8.4146341463414709E-2</v>
      </c>
      <c r="N144" s="3">
        <v>966</v>
      </c>
      <c r="O144" s="266">
        <f t="shared" si="36"/>
        <v>0.20298879202988784</v>
      </c>
      <c r="P144" s="224"/>
      <c r="Q144" s="9"/>
      <c r="R144" s="77">
        <v>490</v>
      </c>
      <c r="S144" s="74">
        <f t="shared" si="42"/>
        <v>0.50769230769230766</v>
      </c>
      <c r="T144" s="7"/>
      <c r="U144" s="9"/>
      <c r="V144" s="412">
        <v>4003</v>
      </c>
      <c r="W144" s="422"/>
      <c r="X144" s="278">
        <v>7300</v>
      </c>
      <c r="Y144" s="422"/>
      <c r="Z144" s="3"/>
      <c r="AA144" s="74"/>
      <c r="AB144" s="3"/>
      <c r="AC144" s="9"/>
    </row>
    <row r="145" spans="1:42" s="152" customFormat="1" ht="13.5">
      <c r="A145" s="461"/>
      <c r="B145" s="73" t="s">
        <v>26</v>
      </c>
      <c r="C145" s="90">
        <v>1835249</v>
      </c>
      <c r="D145" s="266">
        <f t="shared" si="40"/>
        <v>0.18617974615965815</v>
      </c>
      <c r="E145" s="178"/>
      <c r="F145" s="5">
        <v>20253</v>
      </c>
      <c r="G145" s="74">
        <f t="shared" si="33"/>
        <v>0.138192649207598</v>
      </c>
      <c r="H145" s="3">
        <v>160213</v>
      </c>
      <c r="I145" s="74">
        <f t="shared" si="39"/>
        <v>9.3327964950831621E-2</v>
      </c>
      <c r="J145" s="3">
        <v>38</v>
      </c>
      <c r="K145" s="270">
        <f t="shared" si="34"/>
        <v>0.35714285714285721</v>
      </c>
      <c r="L145" s="7"/>
      <c r="M145" s="9"/>
      <c r="N145" s="3">
        <v>864</v>
      </c>
      <c r="O145" s="267">
        <f t="shared" si="36"/>
        <v>0.22727272727272729</v>
      </c>
      <c r="P145" s="3"/>
      <c r="Q145" s="9"/>
      <c r="R145" s="77">
        <v>415</v>
      </c>
      <c r="S145" s="74">
        <f t="shared" si="42"/>
        <v>0.28086419753086411</v>
      </c>
      <c r="T145" s="7"/>
      <c r="U145" s="9"/>
      <c r="V145" s="412"/>
      <c r="W145" s="422"/>
      <c r="X145" s="278">
        <v>7572</v>
      </c>
      <c r="Y145" s="422"/>
      <c r="Z145" s="3"/>
      <c r="AA145" s="74"/>
      <c r="AB145" s="3"/>
      <c r="AC145" s="9"/>
    </row>
    <row r="146" spans="1:42" s="152" customFormat="1" ht="13.5">
      <c r="A146" s="461"/>
      <c r="B146" s="73" t="s">
        <v>27</v>
      </c>
      <c r="C146" s="90">
        <v>1511657</v>
      </c>
      <c r="D146" s="267">
        <f t="shared" si="40"/>
        <v>0.14407402445937426</v>
      </c>
      <c r="E146" s="178"/>
      <c r="F146" s="5">
        <v>19680</v>
      </c>
      <c r="G146" s="74">
        <f t="shared" si="33"/>
        <v>0.10648824918475208</v>
      </c>
      <c r="H146" s="3">
        <v>145427</v>
      </c>
      <c r="I146" s="74">
        <f t="shared" si="39"/>
        <v>0.2296602573858928</v>
      </c>
      <c r="J146" s="3">
        <v>37</v>
      </c>
      <c r="K146" s="275">
        <f t="shared" si="34"/>
        <v>1.4666666666666668</v>
      </c>
      <c r="L146" s="7"/>
      <c r="M146" s="9"/>
      <c r="N146" s="509">
        <v>1738</v>
      </c>
      <c r="O146" s="510">
        <f>N146/SUM(N134:N135)-1</f>
        <v>2.2954679223072372E-2</v>
      </c>
      <c r="P146" s="3"/>
      <c r="Q146" s="9"/>
      <c r="R146" s="77">
        <v>376</v>
      </c>
      <c r="S146" s="74">
        <f t="shared" si="42"/>
        <v>0.53469387755102038</v>
      </c>
      <c r="T146" s="7"/>
      <c r="U146" s="9"/>
      <c r="V146" s="412"/>
      <c r="W146" s="422"/>
      <c r="X146" s="278">
        <v>6339</v>
      </c>
      <c r="Y146" s="422"/>
      <c r="Z146" s="3"/>
      <c r="AA146" s="74"/>
      <c r="AB146" s="3"/>
      <c r="AC146" s="9"/>
    </row>
    <row r="147" spans="1:42" s="152" customFormat="1" ht="13.5">
      <c r="A147" s="461"/>
      <c r="B147" s="15" t="s">
        <v>28</v>
      </c>
      <c r="C147" s="90">
        <v>1735308</v>
      </c>
      <c r="D147" s="39">
        <f t="shared" si="40"/>
        <v>0.21172264506668528</v>
      </c>
      <c r="E147" s="178"/>
      <c r="F147" s="5">
        <v>18411</v>
      </c>
      <c r="G147" s="74">
        <f t="shared" si="33"/>
        <v>0.16517941902411248</v>
      </c>
      <c r="H147" s="3">
        <v>153129</v>
      </c>
      <c r="I147" s="74">
        <f t="shared" si="39"/>
        <v>0.22062797426883796</v>
      </c>
      <c r="J147" s="3">
        <v>26</v>
      </c>
      <c r="K147" s="275">
        <f t="shared" si="34"/>
        <v>0</v>
      </c>
      <c r="L147" s="7"/>
      <c r="M147" s="9"/>
      <c r="N147" s="509"/>
      <c r="O147" s="510"/>
      <c r="P147" s="3"/>
      <c r="Q147" s="9"/>
      <c r="R147" s="77">
        <v>415</v>
      </c>
      <c r="S147" s="74">
        <f t="shared" si="42"/>
        <v>0.25377643504531733</v>
      </c>
      <c r="T147" s="7"/>
      <c r="U147" s="9"/>
      <c r="V147" s="38"/>
      <c r="W147" s="39"/>
      <c r="X147" s="278">
        <v>8146</v>
      </c>
      <c r="Y147" s="422"/>
      <c r="Z147" s="3"/>
      <c r="AA147" s="74"/>
      <c r="AB147" s="3"/>
      <c r="AC147" s="9"/>
    </row>
    <row r="148" spans="1:42" s="152" customFormat="1" ht="13.5">
      <c r="A148" s="461"/>
      <c r="B148" s="15" t="s">
        <v>29</v>
      </c>
      <c r="C148" s="90">
        <v>1626063</v>
      </c>
      <c r="D148" s="39">
        <f t="shared" si="40"/>
        <v>0.26173265029633275</v>
      </c>
      <c r="E148" s="178"/>
      <c r="F148" s="5">
        <v>9052</v>
      </c>
      <c r="G148" s="9">
        <f t="shared" ref="G148:G157" si="43">F148/F136-1</f>
        <v>0.20244420828905429</v>
      </c>
      <c r="H148" s="3">
        <v>145358</v>
      </c>
      <c r="I148" s="74">
        <f t="shared" si="39"/>
        <v>0.3933456668232318</v>
      </c>
      <c r="J148" s="3">
        <v>23</v>
      </c>
      <c r="K148" s="282">
        <f t="shared" si="34"/>
        <v>-0.39473684210526316</v>
      </c>
      <c r="L148" s="7"/>
      <c r="M148" s="9"/>
      <c r="N148" s="3">
        <v>1555</v>
      </c>
      <c r="O148" s="9">
        <f>N148/N136-1</f>
        <v>0.25403225806451624</v>
      </c>
      <c r="P148" s="3"/>
      <c r="Q148" s="9"/>
      <c r="R148" s="77">
        <v>526</v>
      </c>
      <c r="S148" s="74">
        <f t="shared" si="42"/>
        <v>0.45706371191135742</v>
      </c>
      <c r="T148" s="7"/>
      <c r="U148" s="9"/>
      <c r="V148" s="38"/>
      <c r="W148" s="39"/>
      <c r="X148" s="38">
        <v>10553</v>
      </c>
      <c r="Y148" s="422"/>
      <c r="Z148" s="3"/>
      <c r="AA148" s="74"/>
      <c r="AB148" s="3"/>
      <c r="AC148" s="9"/>
    </row>
    <row r="149" spans="1:42" s="152" customFormat="1">
      <c r="A149" s="461"/>
      <c r="B149" s="294" t="s">
        <v>30</v>
      </c>
      <c r="C149" s="280">
        <v>1781715</v>
      </c>
      <c r="D149" s="287">
        <f t="shared" ref="D149:D154" si="44">C149/C137-1</f>
        <v>0.24536495659048119</v>
      </c>
      <c r="E149" s="178"/>
      <c r="F149" s="5">
        <v>12224</v>
      </c>
      <c r="G149" s="287">
        <f t="shared" si="43"/>
        <v>0.14072415080253831</v>
      </c>
      <c r="H149" s="3">
        <v>163431</v>
      </c>
      <c r="I149" s="74">
        <f t="shared" si="39"/>
        <v>0.2383575552760393</v>
      </c>
      <c r="J149" s="3">
        <v>36</v>
      </c>
      <c r="K149" s="287">
        <f t="shared" ref="K149:K160" si="45">J149/J137-1</f>
        <v>-2.7027027027026973E-2</v>
      </c>
      <c r="L149" s="7"/>
      <c r="M149" s="287"/>
      <c r="N149" s="3">
        <v>1872</v>
      </c>
      <c r="O149" s="287">
        <f>N149/N137-1</f>
        <v>0.47054202670856249</v>
      </c>
      <c r="P149" s="3"/>
      <c r="Q149" s="287"/>
      <c r="R149" s="77">
        <v>420</v>
      </c>
      <c r="S149" s="74">
        <f t="shared" si="42"/>
        <v>9.0909090909090828E-2</v>
      </c>
      <c r="T149" s="7"/>
      <c r="U149" s="287"/>
      <c r="V149" s="288"/>
      <c r="W149" s="39"/>
      <c r="X149" s="288">
        <v>10557</v>
      </c>
      <c r="Y149" s="423"/>
      <c r="Z149" s="3"/>
      <c r="AA149" s="74"/>
      <c r="AB149" s="3"/>
      <c r="AC149" s="287"/>
      <c r="AD149" s="151"/>
      <c r="AE149" s="151"/>
      <c r="AF149" s="151"/>
      <c r="AG149" s="151"/>
      <c r="AH149" s="151"/>
      <c r="AI149" s="151"/>
      <c r="AJ149" s="151"/>
      <c r="AK149" s="151"/>
      <c r="AL149" s="151"/>
    </row>
    <row r="150" spans="1:42" s="314" customFormat="1">
      <c r="A150" s="457" t="s">
        <v>219</v>
      </c>
      <c r="B150" s="326" t="s">
        <v>220</v>
      </c>
      <c r="C150" s="327">
        <v>2112337</v>
      </c>
      <c r="D150" s="290">
        <f t="shared" si="44"/>
        <v>0.15142722581925261</v>
      </c>
      <c r="E150" s="291"/>
      <c r="F150" s="25">
        <v>12197</v>
      </c>
      <c r="G150" s="308">
        <f t="shared" si="43"/>
        <v>0.17482180697360827</v>
      </c>
      <c r="H150" s="23">
        <v>180240</v>
      </c>
      <c r="I150" s="308">
        <f t="shared" si="39"/>
        <v>0.1341555499622451</v>
      </c>
      <c r="J150" s="313">
        <v>42</v>
      </c>
      <c r="K150" s="308">
        <f t="shared" si="45"/>
        <v>-0.45454545454545459</v>
      </c>
      <c r="L150" s="27"/>
      <c r="M150" s="308"/>
      <c r="N150" s="23">
        <v>3379</v>
      </c>
      <c r="O150" s="308">
        <f>N150/N138-1</f>
        <v>0.12072968490878933</v>
      </c>
      <c r="P150" s="23"/>
      <c r="Q150" s="308"/>
      <c r="R150" s="313">
        <v>492</v>
      </c>
      <c r="S150" s="298">
        <f>R150/R138-1</f>
        <v>0.12072892938496582</v>
      </c>
      <c r="T150" s="27"/>
      <c r="U150" s="308"/>
      <c r="V150" s="29">
        <v>3476</v>
      </c>
      <c r="W150" s="30"/>
      <c r="X150" s="29"/>
      <c r="Y150" s="30"/>
      <c r="Z150" s="23"/>
      <c r="AA150" s="298"/>
      <c r="AB150" s="23"/>
      <c r="AC150" s="308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2"/>
      <c r="AN150" s="152"/>
      <c r="AO150" s="152"/>
      <c r="AP150" s="152"/>
    </row>
    <row r="151" spans="1:42" s="152" customFormat="1">
      <c r="A151" s="461"/>
      <c r="B151" s="294" t="s">
        <v>223</v>
      </c>
      <c r="C151" s="312">
        <v>1876928</v>
      </c>
      <c r="D151" s="384">
        <f t="shared" si="44"/>
        <v>0.29836491056710357</v>
      </c>
      <c r="E151" s="178"/>
      <c r="F151" s="5">
        <v>11806</v>
      </c>
      <c r="G151" s="309">
        <f t="shared" si="43"/>
        <v>0.34204842559963633</v>
      </c>
      <c r="H151" s="3">
        <v>150013</v>
      </c>
      <c r="I151" s="309">
        <f t="shared" si="39"/>
        <v>0.26607138335851199</v>
      </c>
      <c r="J151" s="3">
        <v>34</v>
      </c>
      <c r="K151" s="309">
        <f t="shared" si="45"/>
        <v>-0.24444444444444446</v>
      </c>
      <c r="L151" s="7"/>
      <c r="M151" s="309"/>
      <c r="N151" s="77">
        <v>1943</v>
      </c>
      <c r="O151" s="309">
        <f t="shared" ref="O151:O157" si="46">N151/N139-1</f>
        <v>0.19422249539028891</v>
      </c>
      <c r="P151" s="3"/>
      <c r="Q151" s="309"/>
      <c r="R151" s="77"/>
      <c r="S151" s="74"/>
      <c r="T151" s="7"/>
      <c r="U151" s="309"/>
      <c r="V151" s="400">
        <v>2792</v>
      </c>
      <c r="W151" s="311"/>
      <c r="X151" s="310"/>
      <c r="Y151" s="311"/>
      <c r="Z151" s="3"/>
      <c r="AA151" s="74"/>
      <c r="AB151" s="3"/>
      <c r="AC151" s="309"/>
      <c r="AD151" s="151"/>
      <c r="AE151" s="151"/>
      <c r="AF151" s="151"/>
      <c r="AG151" s="151"/>
      <c r="AH151" s="151"/>
      <c r="AI151" s="151"/>
      <c r="AJ151" s="151"/>
      <c r="AK151" s="151"/>
      <c r="AL151" s="151"/>
    </row>
    <row r="152" spans="1:42" s="152" customFormat="1">
      <c r="A152" s="461"/>
      <c r="B152" s="102" t="s">
        <v>224</v>
      </c>
      <c r="C152" s="336">
        <v>1569162</v>
      </c>
      <c r="D152" s="250">
        <f t="shared" si="44"/>
        <v>0.1076309943720648</v>
      </c>
      <c r="E152" s="178"/>
      <c r="F152" s="5">
        <v>9801</v>
      </c>
      <c r="G152" s="344">
        <f t="shared" si="43"/>
        <v>0.125</v>
      </c>
      <c r="H152" s="3">
        <v>125417</v>
      </c>
      <c r="I152" s="322">
        <f t="shared" si="39"/>
        <v>0.11383760068917126</v>
      </c>
      <c r="J152" s="3">
        <v>26</v>
      </c>
      <c r="K152" s="344">
        <f t="shared" si="45"/>
        <v>-0.1333333333333333</v>
      </c>
      <c r="L152" s="7"/>
      <c r="M152" s="322"/>
      <c r="N152" s="77">
        <v>1890</v>
      </c>
      <c r="O152" s="322">
        <f t="shared" si="46"/>
        <v>4.1896361631753143E-2</v>
      </c>
      <c r="P152" s="3"/>
      <c r="Q152" s="322"/>
      <c r="R152" s="77"/>
      <c r="S152" s="74"/>
      <c r="T152" s="7"/>
      <c r="U152" s="322"/>
      <c r="V152" s="400"/>
      <c r="W152" s="325"/>
      <c r="X152" s="324"/>
      <c r="Y152" s="325"/>
      <c r="Z152" s="3"/>
      <c r="AA152" s="74"/>
      <c r="AB152" s="3"/>
      <c r="AC152" s="322"/>
      <c r="AD152" s="151"/>
      <c r="AE152" s="151"/>
      <c r="AF152" s="151"/>
      <c r="AG152" s="151"/>
      <c r="AH152" s="151"/>
      <c r="AI152" s="151"/>
      <c r="AJ152" s="151"/>
      <c r="AK152" s="151"/>
      <c r="AL152" s="151"/>
    </row>
    <row r="153" spans="1:42" s="152" customFormat="1">
      <c r="A153" s="461"/>
      <c r="B153" s="102" t="s">
        <v>225</v>
      </c>
      <c r="C153" s="336">
        <v>1636597</v>
      </c>
      <c r="D153" s="250">
        <f t="shared" si="44"/>
        <v>9.4376980995813931E-2</v>
      </c>
      <c r="E153" s="178"/>
      <c r="F153" s="5">
        <v>13855</v>
      </c>
      <c r="G153" s="358">
        <f t="shared" si="43"/>
        <v>0.32317830197688857</v>
      </c>
      <c r="H153" s="3">
        <v>135778</v>
      </c>
      <c r="I153" s="341">
        <f t="shared" si="39"/>
        <v>3.2461656616657342E-2</v>
      </c>
      <c r="J153" s="3">
        <v>21</v>
      </c>
      <c r="K153" s="351">
        <f t="shared" si="45"/>
        <v>-0.32258064516129037</v>
      </c>
      <c r="L153" s="7"/>
      <c r="M153" s="341"/>
      <c r="N153" s="77">
        <v>1035</v>
      </c>
      <c r="O153" s="341">
        <f t="shared" si="46"/>
        <v>-0.29543907420013615</v>
      </c>
      <c r="P153" s="3"/>
      <c r="Q153" s="341"/>
      <c r="R153" s="77"/>
      <c r="S153" s="74"/>
      <c r="T153" s="7"/>
      <c r="U153" s="341"/>
      <c r="V153" s="400"/>
      <c r="W153" s="343"/>
      <c r="X153" s="342"/>
      <c r="Y153" s="343"/>
      <c r="Z153" s="3"/>
      <c r="AA153" s="74"/>
      <c r="AB153" s="3"/>
      <c r="AC153" s="341"/>
      <c r="AD153" s="151"/>
      <c r="AE153" s="151"/>
      <c r="AF153" s="151"/>
      <c r="AG153" s="151"/>
      <c r="AH153" s="151"/>
      <c r="AI153" s="151"/>
      <c r="AJ153" s="151"/>
      <c r="AK153" s="151"/>
      <c r="AL153" s="151"/>
    </row>
    <row r="154" spans="1:42" s="152" customFormat="1">
      <c r="A154" s="461"/>
      <c r="B154" s="294" t="s">
        <v>226</v>
      </c>
      <c r="C154" s="336">
        <v>1656728</v>
      </c>
      <c r="D154" s="250">
        <f t="shared" si="44"/>
        <v>4.9050032768408025E-2</v>
      </c>
      <c r="E154" s="178"/>
      <c r="F154" s="5">
        <v>19925</v>
      </c>
      <c r="G154" s="366">
        <f t="shared" si="43"/>
        <v>0.12183998648724725</v>
      </c>
      <c r="H154" s="3">
        <v>154294</v>
      </c>
      <c r="I154" s="396">
        <f t="shared" si="39"/>
        <v>3.5577929975869615E-3</v>
      </c>
      <c r="J154" s="3">
        <v>18</v>
      </c>
      <c r="K154" s="358">
        <f t="shared" si="45"/>
        <v>-0.30769230769230771</v>
      </c>
      <c r="L154" s="7"/>
      <c r="M154" s="348"/>
      <c r="N154" s="77">
        <v>688</v>
      </c>
      <c r="O154" s="348">
        <f t="shared" si="46"/>
        <v>-5.2341597796143224E-2</v>
      </c>
      <c r="P154" s="3"/>
      <c r="Q154" s="348"/>
      <c r="R154" s="77"/>
      <c r="S154" s="74"/>
      <c r="T154" s="7"/>
      <c r="U154" s="348"/>
      <c r="V154" s="400"/>
      <c r="W154" s="350"/>
      <c r="X154" s="349"/>
      <c r="Y154" s="350"/>
      <c r="Z154" s="3"/>
      <c r="AA154" s="74"/>
      <c r="AB154" s="3"/>
      <c r="AC154" s="348"/>
      <c r="AD154" s="151"/>
      <c r="AE154" s="151"/>
      <c r="AF154" s="151"/>
      <c r="AG154" s="151"/>
      <c r="AH154" s="151"/>
      <c r="AI154" s="151"/>
      <c r="AJ154" s="151"/>
      <c r="AK154" s="151"/>
      <c r="AL154" s="151"/>
    </row>
    <row r="155" spans="1:42" s="152" customFormat="1">
      <c r="A155" s="461"/>
      <c r="B155" s="294" t="s">
        <v>24</v>
      </c>
      <c r="C155" s="336">
        <v>1778317</v>
      </c>
      <c r="D155" s="250">
        <f t="shared" ref="D155:D161" si="47">C155/C143-1</f>
        <v>0.29468581800020521</v>
      </c>
      <c r="E155" s="178"/>
      <c r="F155" s="5">
        <v>28089</v>
      </c>
      <c r="G155" s="366">
        <f t="shared" si="43"/>
        <v>0.22322867221181908</v>
      </c>
      <c r="H155" s="3">
        <v>171761</v>
      </c>
      <c r="I155" s="396">
        <f t="shared" si="39"/>
        <v>0.16817993239612883</v>
      </c>
      <c r="J155" s="3">
        <v>46</v>
      </c>
      <c r="K155" s="366">
        <f t="shared" si="45"/>
        <v>1</v>
      </c>
      <c r="L155" s="7"/>
      <c r="M155" s="358"/>
      <c r="N155" s="77">
        <v>734</v>
      </c>
      <c r="O155" s="358">
        <f t="shared" si="46"/>
        <v>1.3642564802183177E-3</v>
      </c>
      <c r="P155" s="3"/>
      <c r="Q155" s="358"/>
      <c r="R155" s="77"/>
      <c r="S155" s="74"/>
      <c r="T155" s="7"/>
      <c r="U155" s="358"/>
      <c r="V155" s="400"/>
      <c r="W155" s="360"/>
      <c r="X155" s="359"/>
      <c r="Y155" s="360"/>
      <c r="Z155" s="3"/>
      <c r="AA155" s="74"/>
      <c r="AB155" s="3"/>
      <c r="AC155" s="358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68"/>
      <c r="AN155" s="168"/>
      <c r="AO155" s="168"/>
      <c r="AP155" s="168"/>
    </row>
    <row r="156" spans="1:42" s="152" customFormat="1">
      <c r="A156" s="461"/>
      <c r="B156" s="294" t="s">
        <v>25</v>
      </c>
      <c r="C156" s="336">
        <v>2086068</v>
      </c>
      <c r="D156" s="250">
        <f t="shared" si="47"/>
        <v>0.24516692810738405</v>
      </c>
      <c r="E156" s="178"/>
      <c r="F156" s="5">
        <v>40431</v>
      </c>
      <c r="G156" s="393">
        <f t="shared" si="43"/>
        <v>0.35315773620268409</v>
      </c>
      <c r="H156" s="3">
        <v>194637</v>
      </c>
      <c r="I156" s="406">
        <f t="shared" si="39"/>
        <v>0.11209704144716537</v>
      </c>
      <c r="J156" s="3">
        <v>41</v>
      </c>
      <c r="K156" s="393">
        <f t="shared" si="45"/>
        <v>0.20588235294117641</v>
      </c>
      <c r="L156" s="7"/>
      <c r="M156" s="366"/>
      <c r="N156" s="77">
        <v>931</v>
      </c>
      <c r="O156" s="366">
        <f t="shared" si="46"/>
        <v>-3.6231884057971064E-2</v>
      </c>
      <c r="P156" s="3"/>
      <c r="Q156" s="366"/>
      <c r="R156" s="77"/>
      <c r="S156" s="74"/>
      <c r="T156" s="7"/>
      <c r="U156" s="366"/>
      <c r="V156" s="400"/>
      <c r="W156" s="369"/>
      <c r="X156" s="368"/>
      <c r="Y156" s="369"/>
      <c r="Z156" s="3"/>
      <c r="AA156" s="74"/>
      <c r="AB156" s="3"/>
      <c r="AC156" s="366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</row>
    <row r="157" spans="1:42" s="337" customFormat="1">
      <c r="A157" s="461"/>
      <c r="B157" s="294" t="s">
        <v>227</v>
      </c>
      <c r="C157" s="336">
        <v>2064241</v>
      </c>
      <c r="D157" s="250">
        <f t="shared" si="47"/>
        <v>0.1247743494207052</v>
      </c>
      <c r="E157" s="295"/>
      <c r="F157" s="289">
        <v>29608</v>
      </c>
      <c r="G157" s="393">
        <f t="shared" si="43"/>
        <v>0.4619068779933837</v>
      </c>
      <c r="H157" s="254"/>
      <c r="I157" s="250"/>
      <c r="J157" s="254">
        <v>16</v>
      </c>
      <c r="K157" s="393">
        <f t="shared" si="45"/>
        <v>-0.57894736842105265</v>
      </c>
      <c r="L157" s="256"/>
      <c r="M157" s="250"/>
      <c r="N157" s="254">
        <v>812</v>
      </c>
      <c r="O157" s="250">
        <f t="shared" si="46"/>
        <v>-6.018518518518523E-2</v>
      </c>
      <c r="P157" s="254"/>
      <c r="Q157" s="250"/>
      <c r="R157" s="256"/>
      <c r="S157" s="250"/>
      <c r="T157" s="254"/>
      <c r="U157" s="250"/>
      <c r="V157" s="254"/>
      <c r="W157" s="250"/>
      <c r="X157" s="254"/>
      <c r="Y157" s="250"/>
      <c r="Z157" s="256"/>
      <c r="AA157" s="257"/>
      <c r="AB157" s="254"/>
      <c r="AC157" s="250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2"/>
      <c r="AN157" s="152"/>
      <c r="AO157" s="152"/>
      <c r="AP157" s="152"/>
    </row>
    <row r="158" spans="1:42" s="337" customFormat="1">
      <c r="A158" s="461"/>
      <c r="B158" s="294" t="s">
        <v>27</v>
      </c>
      <c r="C158" s="336">
        <v>1904524</v>
      </c>
      <c r="D158" s="250">
        <f t="shared" si="47"/>
        <v>0.25989162885495842</v>
      </c>
      <c r="E158" s="295"/>
      <c r="F158" s="289"/>
      <c r="G158" s="250"/>
      <c r="H158" s="254"/>
      <c r="I158" s="250"/>
      <c r="J158" s="254">
        <v>19</v>
      </c>
      <c r="K158" s="393">
        <f t="shared" si="45"/>
        <v>-0.48648648648648651</v>
      </c>
      <c r="L158" s="256"/>
      <c r="M158" s="250"/>
      <c r="N158" s="254"/>
      <c r="O158" s="250"/>
      <c r="P158" s="254"/>
      <c r="Q158" s="250"/>
      <c r="R158" s="256"/>
      <c r="S158" s="250"/>
      <c r="T158" s="254"/>
      <c r="U158" s="250"/>
      <c r="V158" s="254">
        <v>1311</v>
      </c>
      <c r="W158" s="250"/>
      <c r="X158" s="254"/>
      <c r="Y158" s="250"/>
      <c r="Z158" s="256"/>
      <c r="AA158" s="257"/>
      <c r="AB158" s="254"/>
      <c r="AC158" s="250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297"/>
      <c r="AN158" s="297"/>
      <c r="AO158" s="297"/>
      <c r="AP158" s="297"/>
    </row>
    <row r="159" spans="1:42" s="337" customFormat="1">
      <c r="A159" s="461"/>
      <c r="B159" s="294" t="s">
        <v>28</v>
      </c>
      <c r="C159" s="336">
        <v>1865552</v>
      </c>
      <c r="D159" s="250">
        <f t="shared" si="47"/>
        <v>7.5055263964667995E-2</v>
      </c>
      <c r="E159" s="295"/>
      <c r="F159" s="289"/>
      <c r="G159" s="250"/>
      <c r="H159" s="254"/>
      <c r="I159" s="250"/>
      <c r="J159" s="254">
        <v>49</v>
      </c>
      <c r="K159" s="393">
        <f t="shared" si="45"/>
        <v>0.88461538461538458</v>
      </c>
      <c r="L159" s="256"/>
      <c r="M159" s="250"/>
      <c r="N159" s="254"/>
      <c r="O159" s="250"/>
      <c r="P159" s="254"/>
      <c r="Q159" s="250"/>
      <c r="R159" s="256"/>
      <c r="S159" s="250"/>
      <c r="T159" s="254"/>
      <c r="U159" s="250"/>
      <c r="V159" s="254"/>
      <c r="W159" s="250"/>
      <c r="X159" s="254"/>
      <c r="Y159" s="250"/>
      <c r="Z159" s="256"/>
      <c r="AA159" s="257"/>
      <c r="AB159" s="254"/>
      <c r="AC159" s="250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</row>
    <row r="160" spans="1:42" s="337" customFormat="1">
      <c r="A160" s="461"/>
      <c r="B160" s="294" t="s">
        <v>29</v>
      </c>
      <c r="C160" s="336">
        <v>1825701</v>
      </c>
      <c r="D160" s="250">
        <f t="shared" si="47"/>
        <v>0.12277384086594423</v>
      </c>
      <c r="E160" s="295"/>
      <c r="F160" s="289"/>
      <c r="G160" s="250"/>
      <c r="H160" s="254"/>
      <c r="I160" s="250"/>
      <c r="J160" s="254">
        <v>33</v>
      </c>
      <c r="K160" s="406">
        <f t="shared" si="45"/>
        <v>0.43478260869565211</v>
      </c>
      <c r="L160" s="256"/>
      <c r="M160" s="250"/>
      <c r="N160" s="254"/>
      <c r="O160" s="250"/>
      <c r="P160" s="254"/>
      <c r="Q160" s="250"/>
      <c r="R160" s="256"/>
      <c r="S160" s="250"/>
      <c r="T160" s="254"/>
      <c r="U160" s="250"/>
      <c r="V160" s="254"/>
      <c r="W160" s="250"/>
      <c r="X160" s="254"/>
      <c r="Y160" s="250"/>
      <c r="Z160" s="256"/>
      <c r="AA160" s="257"/>
      <c r="AB160" s="254"/>
      <c r="AC160" s="250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</row>
    <row r="161" spans="1:42" s="337" customFormat="1" ht="17.25" thickBot="1">
      <c r="A161" s="461"/>
      <c r="B161" s="294" t="s">
        <v>30</v>
      </c>
      <c r="C161" s="336">
        <v>2007035</v>
      </c>
      <c r="D161" s="250">
        <f t="shared" si="47"/>
        <v>0.12646242524758455</v>
      </c>
      <c r="E161" s="295"/>
      <c r="F161" s="289"/>
      <c r="G161" s="250"/>
      <c r="H161" s="254"/>
      <c r="I161" s="250"/>
      <c r="J161" s="254"/>
      <c r="K161" s="250"/>
      <c r="L161" s="256"/>
      <c r="M161" s="250"/>
      <c r="N161" s="254"/>
      <c r="O161" s="250"/>
      <c r="P161" s="254"/>
      <c r="Q161" s="250"/>
      <c r="R161" s="256"/>
      <c r="S161" s="250"/>
      <c r="T161" s="254"/>
      <c r="U161" s="250"/>
      <c r="V161" s="254"/>
      <c r="W161" s="250"/>
      <c r="X161" s="254"/>
      <c r="Y161" s="250"/>
      <c r="Z161" s="256"/>
      <c r="AA161" s="257"/>
      <c r="AB161" s="254"/>
      <c r="AC161" s="250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</row>
    <row r="162" spans="1:42" s="152" customFormat="1" ht="16.5" customHeight="1">
      <c r="A162" s="91" t="s">
        <v>31</v>
      </c>
      <c r="B162" s="92" t="s">
        <v>16</v>
      </c>
      <c r="C162" s="94">
        <v>5508242</v>
      </c>
      <c r="D162" s="93">
        <v>0.26900000000000002</v>
      </c>
      <c r="E162" s="178"/>
      <c r="F162" s="96" t="s">
        <v>17</v>
      </c>
      <c r="G162" s="95" t="s">
        <v>17</v>
      </c>
      <c r="H162" s="96" t="s">
        <v>17</v>
      </c>
      <c r="I162" s="95" t="s">
        <v>17</v>
      </c>
      <c r="J162" s="96"/>
      <c r="K162" s="95"/>
      <c r="L162" s="96"/>
      <c r="M162" s="95"/>
      <c r="N162" s="96"/>
      <c r="O162" s="95"/>
      <c r="P162" s="96"/>
      <c r="Q162" s="95"/>
      <c r="R162" s="96"/>
      <c r="S162" s="95"/>
      <c r="T162" s="96">
        <v>197</v>
      </c>
      <c r="U162" s="95" t="s">
        <v>17</v>
      </c>
      <c r="V162" s="96" t="s">
        <v>17</v>
      </c>
      <c r="W162" s="95" t="s">
        <v>17</v>
      </c>
      <c r="X162" s="96" t="s">
        <v>17</v>
      </c>
      <c r="Y162" s="95" t="s">
        <v>17</v>
      </c>
      <c r="Z162" s="96"/>
      <c r="AA162" s="95"/>
      <c r="AB162" s="96" t="s">
        <v>17</v>
      </c>
      <c r="AC162" s="95" t="s">
        <v>17</v>
      </c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</row>
    <row r="163" spans="1:42" s="152" customFormat="1" ht="16.5" customHeight="1">
      <c r="A163" s="14" t="s">
        <v>39</v>
      </c>
      <c r="B163" s="62" t="s">
        <v>16</v>
      </c>
      <c r="C163" s="5">
        <v>6084476</v>
      </c>
      <c r="D163" s="9">
        <f t="shared" ref="D163:D171" si="48">C163/C162-1</f>
        <v>0.10461305077010041</v>
      </c>
      <c r="E163" s="178"/>
      <c r="F163" s="100" t="s">
        <v>17</v>
      </c>
      <c r="G163" s="99" t="s">
        <v>17</v>
      </c>
      <c r="H163" s="100" t="s">
        <v>17</v>
      </c>
      <c r="I163" s="99" t="s">
        <v>17</v>
      </c>
      <c r="J163" s="100">
        <v>227</v>
      </c>
      <c r="K163" s="99"/>
      <c r="L163" s="100"/>
      <c r="M163" s="99"/>
      <c r="N163" s="100"/>
      <c r="O163" s="9"/>
      <c r="P163" s="100"/>
      <c r="Q163" s="9"/>
      <c r="R163" s="100"/>
      <c r="S163" s="9"/>
      <c r="T163" s="100">
        <v>381</v>
      </c>
      <c r="U163" s="9">
        <f t="shared" ref="U163:U173" si="49">T163/T162-1</f>
        <v>0.93401015228426387</v>
      </c>
      <c r="V163" s="100" t="s">
        <v>17</v>
      </c>
      <c r="W163" s="99" t="s">
        <v>17</v>
      </c>
      <c r="X163" s="100" t="s">
        <v>17</v>
      </c>
      <c r="Y163" s="99" t="s">
        <v>17</v>
      </c>
      <c r="Z163" s="100"/>
      <c r="AA163" s="99"/>
      <c r="AB163" s="100" t="s">
        <v>17</v>
      </c>
      <c r="AC163" s="99" t="s">
        <v>17</v>
      </c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</row>
    <row r="164" spans="1:42" s="152" customFormat="1" ht="16.5" customHeight="1">
      <c r="A164" s="14" t="s">
        <v>32</v>
      </c>
      <c r="B164" s="62" t="s">
        <v>16</v>
      </c>
      <c r="C164" s="5">
        <v>7123407</v>
      </c>
      <c r="D164" s="9">
        <f t="shared" si="48"/>
        <v>0.17075110494313717</v>
      </c>
      <c r="E164" s="178"/>
      <c r="F164" s="100" t="s">
        <v>17</v>
      </c>
      <c r="G164" s="99" t="s">
        <v>17</v>
      </c>
      <c r="H164" s="100" t="s">
        <v>17</v>
      </c>
      <c r="I164" s="99" t="s">
        <v>17</v>
      </c>
      <c r="J164" s="100">
        <v>219</v>
      </c>
      <c r="K164" s="99"/>
      <c r="L164" s="100"/>
      <c r="M164" s="99"/>
      <c r="N164" s="100"/>
      <c r="O164" s="9"/>
      <c r="P164" s="100"/>
      <c r="Q164" s="9"/>
      <c r="R164" s="100"/>
      <c r="S164" s="9"/>
      <c r="T164" s="100">
        <v>518</v>
      </c>
      <c r="U164" s="9">
        <f t="shared" si="49"/>
        <v>0.35958005249343827</v>
      </c>
      <c r="V164" s="100" t="s">
        <v>17</v>
      </c>
      <c r="W164" s="99" t="s">
        <v>17</v>
      </c>
      <c r="X164" s="100" t="s">
        <v>17</v>
      </c>
      <c r="Y164" s="99" t="s">
        <v>17</v>
      </c>
      <c r="Z164" s="100"/>
      <c r="AA164" s="99"/>
      <c r="AB164" s="100" t="s">
        <v>17</v>
      </c>
      <c r="AC164" s="99" t="s">
        <v>17</v>
      </c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</row>
    <row r="165" spans="1:42" s="152" customFormat="1" ht="16.5" customHeight="1">
      <c r="A165" s="14" t="s">
        <v>33</v>
      </c>
      <c r="B165" s="62" t="s">
        <v>16</v>
      </c>
      <c r="C165" s="5">
        <v>7086133</v>
      </c>
      <c r="D165" s="9">
        <f t="shared" si="48"/>
        <v>-5.2326084975911069E-3</v>
      </c>
      <c r="E165" s="178"/>
      <c r="F165" s="100" t="s">
        <v>17</v>
      </c>
      <c r="G165" s="99" t="s">
        <v>17</v>
      </c>
      <c r="H165" s="5">
        <v>617573</v>
      </c>
      <c r="I165" s="99" t="s">
        <v>17</v>
      </c>
      <c r="J165" s="100">
        <v>179</v>
      </c>
      <c r="K165" s="99"/>
      <c r="L165" s="100"/>
      <c r="M165" s="99"/>
      <c r="N165" s="100"/>
      <c r="O165" s="9"/>
      <c r="P165" s="100"/>
      <c r="Q165" s="9"/>
      <c r="R165" s="100"/>
      <c r="S165" s="9"/>
      <c r="T165" s="100">
        <v>822</v>
      </c>
      <c r="U165" s="9">
        <f>T165/T164-1</f>
        <v>0.58687258687258681</v>
      </c>
      <c r="V165" s="100" t="s">
        <v>17</v>
      </c>
      <c r="W165" s="99" t="s">
        <v>17</v>
      </c>
      <c r="X165" s="100" t="s">
        <v>17</v>
      </c>
      <c r="Y165" s="99" t="s">
        <v>17</v>
      </c>
      <c r="Z165" s="100"/>
      <c r="AA165" s="99"/>
      <c r="AB165" s="100">
        <v>19498</v>
      </c>
      <c r="AC165" s="99" t="s">
        <v>17</v>
      </c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</row>
    <row r="166" spans="1:42" s="152" customFormat="1" ht="16.5" customHeight="1">
      <c r="A166" s="14" t="s">
        <v>18</v>
      </c>
      <c r="B166" s="62" t="s">
        <v>16</v>
      </c>
      <c r="C166" s="5">
        <v>8825585</v>
      </c>
      <c r="D166" s="9">
        <f t="shared" si="48"/>
        <v>0.24547267176610998</v>
      </c>
      <c r="E166" s="178"/>
      <c r="F166" s="5">
        <f>SUM(F6:F17)</f>
        <v>169871</v>
      </c>
      <c r="G166" s="99" t="s">
        <v>17</v>
      </c>
      <c r="H166" s="5">
        <f>SUM(H6:H17)</f>
        <v>626595</v>
      </c>
      <c r="I166" s="9">
        <f>(H166-H165)/H165</f>
        <v>1.4608799283647439E-2</v>
      </c>
      <c r="J166" s="5">
        <f>SUM(J6:J17)</f>
        <v>213</v>
      </c>
      <c r="K166" s="9"/>
      <c r="L166" s="5"/>
      <c r="M166" s="9"/>
      <c r="N166" s="100"/>
      <c r="O166" s="9"/>
      <c r="P166" s="100"/>
      <c r="Q166" s="9"/>
      <c r="R166" s="5"/>
      <c r="S166" s="9"/>
      <c r="T166" s="5">
        <f>SUM(T6:T17)</f>
        <v>739</v>
      </c>
      <c r="U166" s="9">
        <f t="shared" si="49"/>
        <v>-0.1009732360097324</v>
      </c>
      <c r="V166" s="5">
        <v>5779</v>
      </c>
      <c r="W166" s="99" t="s">
        <v>17</v>
      </c>
      <c r="X166" s="100" t="s">
        <v>17</v>
      </c>
      <c r="Y166" s="99" t="s">
        <v>17</v>
      </c>
      <c r="Z166" s="5"/>
      <c r="AA166" s="9"/>
      <c r="AB166" s="5">
        <f>SUM(AB6:AB17)</f>
        <v>21353</v>
      </c>
      <c r="AC166" s="9">
        <f t="shared" ref="AC166:AC173" si="50">(AB166-AB165)/AB165</f>
        <v>9.5137962867986467E-2</v>
      </c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</row>
    <row r="167" spans="1:42" s="152" customFormat="1" ht="16.5" customHeight="1">
      <c r="A167" s="14" t="s">
        <v>19</v>
      </c>
      <c r="B167" s="62" t="s">
        <v>16</v>
      </c>
      <c r="C167" s="5">
        <f>SUM(C18:C29)</f>
        <v>10080143</v>
      </c>
      <c r="D167" s="9">
        <f t="shared" si="48"/>
        <v>0.14215012375950153</v>
      </c>
      <c r="E167" s="178"/>
      <c r="F167" s="5">
        <f>SUM(F18:F29)</f>
        <v>179961</v>
      </c>
      <c r="G167" s="9">
        <f>(F167-F166)/F166</f>
        <v>5.9398013786932435E-2</v>
      </c>
      <c r="H167" s="5">
        <f>SUM(H18:H29)</f>
        <v>705093</v>
      </c>
      <c r="I167" s="9">
        <f>(H167-H166)/H166</f>
        <v>0.12527709285902378</v>
      </c>
      <c r="J167" s="5">
        <f>SUM(J18:J29)</f>
        <v>182</v>
      </c>
      <c r="K167" s="9">
        <f>(J167-J166)/J166</f>
        <v>-0.14553990610328638</v>
      </c>
      <c r="L167" s="5"/>
      <c r="M167" s="9"/>
      <c r="N167" s="100"/>
      <c r="O167" s="9"/>
      <c r="P167" s="100">
        <v>3238</v>
      </c>
      <c r="Q167" s="9"/>
      <c r="R167" s="5"/>
      <c r="S167" s="9"/>
      <c r="T167" s="5">
        <f>SUM(T18:T29)</f>
        <v>968</v>
      </c>
      <c r="U167" s="9">
        <f t="shared" si="49"/>
        <v>0.30987821380243563</v>
      </c>
      <c r="V167" s="5">
        <v>6705</v>
      </c>
      <c r="W167" s="9">
        <f t="shared" ref="W167:W174" si="51">(V167-V166)/V166</f>
        <v>0.16023533483301608</v>
      </c>
      <c r="X167" s="100" t="s">
        <v>17</v>
      </c>
      <c r="Y167" s="99" t="s">
        <v>17</v>
      </c>
      <c r="Z167" s="5"/>
      <c r="AA167" s="9"/>
      <c r="AB167" s="5">
        <f>SUM(AB18:AB29)</f>
        <v>24315</v>
      </c>
      <c r="AC167" s="9">
        <f t="shared" si="50"/>
        <v>0.13871587130613966</v>
      </c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</row>
    <row r="168" spans="1:42" s="152" customFormat="1" ht="16.5" customHeight="1">
      <c r="A168" s="14" t="s">
        <v>20</v>
      </c>
      <c r="B168" s="62" t="s">
        <v>16</v>
      </c>
      <c r="C168" s="5">
        <f>SUM(C30:C41)</f>
        <v>11609879</v>
      </c>
      <c r="D168" s="9">
        <f t="shared" si="48"/>
        <v>0.15175737090237718</v>
      </c>
      <c r="E168" s="178"/>
      <c r="F168" s="5">
        <f>SUM(F30:F41)</f>
        <v>193659</v>
      </c>
      <c r="G168" s="9">
        <f>(F168-SUM(F18:F29))/SUM(F18:F29)</f>
        <v>7.6116491906579764E-2</v>
      </c>
      <c r="H168" s="5">
        <f>SUM(H30:H41)</f>
        <v>757721</v>
      </c>
      <c r="I168" s="9">
        <f>(H168-SUM(H18:H29))/SUM(H18:H29)</f>
        <v>7.4639799288888128E-2</v>
      </c>
      <c r="J168" s="5">
        <f>SUM(J30:J41)</f>
        <v>178</v>
      </c>
      <c r="K168" s="9">
        <f t="shared" ref="K168:K173" si="52">(J168-J167)/J167</f>
        <v>-2.197802197802198E-2</v>
      </c>
      <c r="L168" s="5">
        <v>10302</v>
      </c>
      <c r="M168" s="9"/>
      <c r="N168" s="100"/>
      <c r="O168" s="9"/>
      <c r="P168" s="100">
        <v>2703</v>
      </c>
      <c r="Q168" s="9">
        <f t="shared" ref="Q168:Q173" si="53">P168/P167-1</f>
        <v>-0.16522544780728843</v>
      </c>
      <c r="R168" s="5"/>
      <c r="S168" s="9"/>
      <c r="T168" s="5">
        <f>SUM(T30:T41)</f>
        <v>1436</v>
      </c>
      <c r="U168" s="9">
        <f t="shared" si="49"/>
        <v>0.48347107438016534</v>
      </c>
      <c r="V168" s="5">
        <v>7699</v>
      </c>
      <c r="W168" s="9">
        <f t="shared" si="51"/>
        <v>0.14824757643549591</v>
      </c>
      <c r="X168" s="100" t="s">
        <v>17</v>
      </c>
      <c r="Y168" s="99" t="s">
        <v>17</v>
      </c>
      <c r="Z168" s="5"/>
      <c r="AA168" s="9"/>
      <c r="AB168" s="5">
        <f>SUM(AB30:AB41)</f>
        <v>30359</v>
      </c>
      <c r="AC168" s="9">
        <f t="shared" si="50"/>
        <v>0.24857084104462265</v>
      </c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</row>
    <row r="169" spans="1:42" s="152" customFormat="1" ht="16.5" customHeight="1">
      <c r="A169" s="14" t="s">
        <v>42</v>
      </c>
      <c r="B169" s="62" t="s">
        <v>16</v>
      </c>
      <c r="C169" s="5">
        <f>SUM(SUM(C42:C53))</f>
        <v>13324977</v>
      </c>
      <c r="D169" s="9">
        <f t="shared" si="48"/>
        <v>0.147727465548952</v>
      </c>
      <c r="E169" s="178"/>
      <c r="F169" s="100">
        <f>SUM(F42:F53)</f>
        <v>199740</v>
      </c>
      <c r="G169" s="9">
        <f>(F169-SUM(F30:F41))/SUM(F30:F41)</f>
        <v>3.1400554583055781E-2</v>
      </c>
      <c r="H169" s="100">
        <f>SUM(H42:H53)</f>
        <v>806175</v>
      </c>
      <c r="I169" s="9">
        <f>(H169-SUM(H30:H41))/SUM(H30:H41)</f>
        <v>6.3947020077310776E-2</v>
      </c>
      <c r="J169" s="100">
        <f>SUM(J42:J53)</f>
        <v>238</v>
      </c>
      <c r="K169" s="9">
        <f t="shared" si="52"/>
        <v>0.33707865168539325</v>
      </c>
      <c r="L169" s="100">
        <v>12019</v>
      </c>
      <c r="M169" s="9">
        <f>(L169-L168)/L168</f>
        <v>0.16666666666666666</v>
      </c>
      <c r="N169" s="100"/>
      <c r="O169" s="9"/>
      <c r="P169" s="100">
        <v>2966</v>
      </c>
      <c r="Q169" s="9">
        <f t="shared" si="53"/>
        <v>9.7299297077321434E-2</v>
      </c>
      <c r="R169" s="100"/>
      <c r="S169" s="9"/>
      <c r="T169" s="100">
        <f>SUM(T42:T53)</f>
        <v>2318</v>
      </c>
      <c r="U169" s="9">
        <f t="shared" si="49"/>
        <v>0.61420612813370479</v>
      </c>
      <c r="V169" s="100">
        <v>8878</v>
      </c>
      <c r="W169" s="9">
        <f t="shared" si="51"/>
        <v>0.15313677100922199</v>
      </c>
      <c r="X169" s="100" t="s">
        <v>17</v>
      </c>
      <c r="Y169" s="99" t="s">
        <v>17</v>
      </c>
      <c r="Z169" s="100"/>
      <c r="AA169" s="9"/>
      <c r="AB169" s="100">
        <f>SUM(AB42:AB53)</f>
        <v>39749</v>
      </c>
      <c r="AC169" s="9">
        <f t="shared" si="50"/>
        <v>0.30929872525445501</v>
      </c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</row>
    <row r="170" spans="1:42" s="152" customFormat="1" ht="16.5" customHeight="1">
      <c r="A170" s="14" t="s">
        <v>56</v>
      </c>
      <c r="B170" s="62" t="s">
        <v>57</v>
      </c>
      <c r="C170" s="5">
        <f>SUM(C54:C65)</f>
        <v>11996094</v>
      </c>
      <c r="D170" s="9">
        <f t="shared" si="48"/>
        <v>-9.9728727486734114E-2</v>
      </c>
      <c r="E170" s="178"/>
      <c r="F170" s="5">
        <f>SUM(F54:F65)</f>
        <v>183893</v>
      </c>
      <c r="G170" s="9">
        <f>F170/F169-1</f>
        <v>-7.9338139581455858E-2</v>
      </c>
      <c r="H170" s="5">
        <f>SUM(H54:H65)</f>
        <v>759394</v>
      </c>
      <c r="I170" s="9">
        <f>H170/H169-1</f>
        <v>-5.802834372189658E-2</v>
      </c>
      <c r="J170" s="5">
        <f>SUM(J54:J65)</f>
        <v>211</v>
      </c>
      <c r="K170" s="9">
        <f t="shared" si="52"/>
        <v>-0.1134453781512605</v>
      </c>
      <c r="L170" s="5">
        <v>10373</v>
      </c>
      <c r="M170" s="9">
        <f>(L170-L169)/L169</f>
        <v>-0.13694982943672518</v>
      </c>
      <c r="N170" s="100">
        <v>7856</v>
      </c>
      <c r="O170" s="9"/>
      <c r="P170" s="100">
        <v>2697</v>
      </c>
      <c r="Q170" s="9">
        <f t="shared" si="53"/>
        <v>-9.0694538098449073E-2</v>
      </c>
      <c r="R170" s="5"/>
      <c r="S170" s="9"/>
      <c r="T170" s="5">
        <f>SUM(T54:T65)</f>
        <v>2049</v>
      </c>
      <c r="U170" s="9">
        <f t="shared" si="49"/>
        <v>-0.11604831751509925</v>
      </c>
      <c r="V170" s="5">
        <v>9840</v>
      </c>
      <c r="W170" s="9">
        <f t="shared" si="51"/>
        <v>0.10835773822933092</v>
      </c>
      <c r="X170" s="100" t="s">
        <v>17</v>
      </c>
      <c r="Y170" s="99" t="s">
        <v>17</v>
      </c>
      <c r="Z170" s="5"/>
      <c r="AA170" s="9"/>
      <c r="AB170" s="5">
        <f>SUM(AB54:AB65)</f>
        <v>42365</v>
      </c>
      <c r="AC170" s="9">
        <f t="shared" si="50"/>
        <v>6.5812976427079922E-2</v>
      </c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</row>
    <row r="171" spans="1:42" s="152" customFormat="1" ht="16.5" customHeight="1">
      <c r="A171" s="14" t="s">
        <v>58</v>
      </c>
      <c r="B171" s="62" t="s">
        <v>57</v>
      </c>
      <c r="C171" s="5">
        <f>SUM(C66:C77)</f>
        <v>9494111</v>
      </c>
      <c r="D171" s="9">
        <f t="shared" si="48"/>
        <v>-0.20856647171987819</v>
      </c>
      <c r="E171" s="178"/>
      <c r="F171" s="5">
        <f>SUM(F66:F77)</f>
        <v>138146</v>
      </c>
      <c r="G171" s="9">
        <f>F171/F170-1</f>
        <v>-0.24876966496821518</v>
      </c>
      <c r="H171" s="5">
        <f>SUM(H66:H77)</f>
        <v>743846</v>
      </c>
      <c r="I171" s="99">
        <f>H171/H170-1</f>
        <v>-2.0474220233501983E-2</v>
      </c>
      <c r="J171" s="5">
        <f>SUM(J66:J77)</f>
        <v>291</v>
      </c>
      <c r="K171" s="9">
        <f t="shared" si="52"/>
        <v>0.37914691943127959</v>
      </c>
      <c r="L171" s="5">
        <f>SUM(L66:L77)</f>
        <v>9361</v>
      </c>
      <c r="M171" s="9">
        <f>(L171-L170)/L170</f>
        <v>-9.7560975609756101E-2</v>
      </c>
      <c r="N171" s="100">
        <v>6582</v>
      </c>
      <c r="O171" s="9">
        <f>(N171-N170)/N170</f>
        <v>-0.16216904276985744</v>
      </c>
      <c r="P171" s="100">
        <v>2724</v>
      </c>
      <c r="Q171" s="9">
        <f t="shared" si="53"/>
        <v>1.0011123470522909E-2</v>
      </c>
      <c r="R171" s="5"/>
      <c r="S171" s="9"/>
      <c r="T171" s="5">
        <f>SUM(T66:T77)</f>
        <v>2005</v>
      </c>
      <c r="U171" s="9">
        <f t="shared" si="49"/>
        <v>-2.1473889702293802E-2</v>
      </c>
      <c r="V171" s="5">
        <v>7824</v>
      </c>
      <c r="W171" s="9">
        <f t="shared" si="51"/>
        <v>-0.20487804878048779</v>
      </c>
      <c r="X171" s="100" t="s">
        <v>17</v>
      </c>
      <c r="Y171" s="99" t="s">
        <v>17</v>
      </c>
      <c r="Z171" s="5"/>
      <c r="AA171" s="9"/>
      <c r="AB171" s="5">
        <f>SUM(AB66:AB77)</f>
        <v>24140</v>
      </c>
      <c r="AC171" s="9">
        <f t="shared" si="50"/>
        <v>-0.43019001534285378</v>
      </c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</row>
    <row r="172" spans="1:42" s="152" customFormat="1" ht="16.5" customHeight="1">
      <c r="A172" s="14" t="s">
        <v>59</v>
      </c>
      <c r="B172" s="62" t="s">
        <v>57</v>
      </c>
      <c r="C172" s="5">
        <f>SUM(C78:C89)</f>
        <v>12488364</v>
      </c>
      <c r="D172" s="9">
        <f>C172/SUM(C66:C77)-1</f>
        <v>0.31538002873570781</v>
      </c>
      <c r="E172" s="178"/>
      <c r="F172" s="5">
        <f>SUM(F78:F89)</f>
        <v>164279</v>
      </c>
      <c r="G172" s="9">
        <f>F172/F171-1</f>
        <v>0.18916942944421122</v>
      </c>
      <c r="H172" s="5">
        <f>SUM(H78:H89)</f>
        <v>1107518</v>
      </c>
      <c r="I172" s="99">
        <f>H172/H171-1</f>
        <v>0.48890765023943139</v>
      </c>
      <c r="J172" s="5">
        <f>SUM(J78:J89)</f>
        <v>375</v>
      </c>
      <c r="K172" s="9">
        <f t="shared" si="52"/>
        <v>0.28865979381443296</v>
      </c>
      <c r="L172" s="5">
        <f>SUM(L78:L89)</f>
        <v>8810</v>
      </c>
      <c r="M172" s="9">
        <f>(L172-L171)/L171</f>
        <v>-5.8861232774276254E-2</v>
      </c>
      <c r="N172" s="100">
        <v>6541</v>
      </c>
      <c r="O172" s="9">
        <f>(N172-N171)/N171</f>
        <v>-6.2291096931024002E-3</v>
      </c>
      <c r="P172" s="100">
        <v>3236</v>
      </c>
      <c r="Q172" s="9">
        <f t="shared" si="53"/>
        <v>0.18795888399412619</v>
      </c>
      <c r="R172" s="5"/>
      <c r="S172" s="9"/>
      <c r="T172" s="5">
        <f>SUM(T78:T89)</f>
        <v>2468</v>
      </c>
      <c r="U172" s="9">
        <f t="shared" si="49"/>
        <v>0.2309226932668329</v>
      </c>
      <c r="V172" s="5">
        <v>10157</v>
      </c>
      <c r="W172" s="9">
        <f t="shared" si="51"/>
        <v>0.29818507157464214</v>
      </c>
      <c r="X172" s="5">
        <v>34965</v>
      </c>
      <c r="Y172" s="99" t="s">
        <v>17</v>
      </c>
      <c r="Z172" s="5">
        <f>SUM(Z78:Z89)</f>
        <v>549</v>
      </c>
      <c r="AA172" s="9"/>
      <c r="AB172" s="5">
        <f>SUM(AB78:AB89)</f>
        <v>30859</v>
      </c>
      <c r="AC172" s="9">
        <f t="shared" si="50"/>
        <v>0.27833471416735711</v>
      </c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</row>
    <row r="173" spans="1:42" s="168" customFormat="1" ht="16.5" customHeight="1">
      <c r="A173" s="73" t="s">
        <v>62</v>
      </c>
      <c r="B173" s="102" t="s">
        <v>57</v>
      </c>
      <c r="C173" s="68">
        <v>12693733</v>
      </c>
      <c r="D173" s="122">
        <f>C173/SUM(C78:C89)-1</f>
        <v>1.6444828161639169E-2</v>
      </c>
      <c r="E173" s="178"/>
      <c r="F173" s="68">
        <f>SUM(F90:F101)</f>
        <v>151093</v>
      </c>
      <c r="G173" s="9">
        <f>F173/F172-1</f>
        <v>-8.0265889127642653E-2</v>
      </c>
      <c r="H173" s="68">
        <f>SUM(H90:H101)</f>
        <v>1145216</v>
      </c>
      <c r="I173" s="99">
        <f>H173/H172-1</f>
        <v>3.4038272967121141E-2</v>
      </c>
      <c r="J173" s="68">
        <f>SUM(J90:J101)</f>
        <v>477</v>
      </c>
      <c r="K173" s="9">
        <f t="shared" si="52"/>
        <v>0.27200000000000002</v>
      </c>
      <c r="L173" s="68">
        <f>SUM(L90:L101)</f>
        <v>9288</v>
      </c>
      <c r="M173" s="9">
        <f>(L173-L172)/L172</f>
        <v>5.4256526674233828E-2</v>
      </c>
      <c r="N173" s="143">
        <v>9808</v>
      </c>
      <c r="O173" s="9">
        <f>(N173-N172)/N172</f>
        <v>0.49946491362177037</v>
      </c>
      <c r="P173" s="143">
        <v>3311</v>
      </c>
      <c r="Q173" s="9">
        <f t="shared" si="53"/>
        <v>2.3176761433868931E-2</v>
      </c>
      <c r="R173" s="68"/>
      <c r="S173" s="9"/>
      <c r="T173" s="68">
        <f>SUM(T90:T101)</f>
        <v>2427</v>
      </c>
      <c r="U173" s="9">
        <f t="shared" si="49"/>
        <v>-1.661264181523503E-2</v>
      </c>
      <c r="V173" s="68">
        <v>12059</v>
      </c>
      <c r="W173" s="9">
        <f t="shared" si="51"/>
        <v>0.18726001772176823</v>
      </c>
      <c r="X173" s="68">
        <v>40303</v>
      </c>
      <c r="Y173" s="9">
        <f>X173/X172-1</f>
        <v>0.15266695266695263</v>
      </c>
      <c r="Z173" s="68">
        <f>SUM(Z90:Z101)</f>
        <v>439</v>
      </c>
      <c r="AA173" s="9">
        <f>(Z173-Z172)/Z172</f>
        <v>-0.20036429872495445</v>
      </c>
      <c r="AB173" s="68">
        <f>SUM(AB90:AB101)</f>
        <v>44630</v>
      </c>
      <c r="AC173" s="9">
        <f t="shared" si="50"/>
        <v>0.44625554943452478</v>
      </c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</row>
    <row r="174" spans="1:42" ht="16.5" customHeight="1">
      <c r="A174" s="14" t="s">
        <v>63</v>
      </c>
      <c r="B174" s="62" t="s">
        <v>57</v>
      </c>
      <c r="C174" s="5">
        <f>SUM(C102:C113)</f>
        <v>13736976</v>
      </c>
      <c r="D174" s="9">
        <f>C174/SUM(C90:C101)-1</f>
        <v>8.2185673828179651E-2</v>
      </c>
      <c r="E174" s="178"/>
      <c r="F174" s="5">
        <f>SUM(F102:F113)</f>
        <v>139999</v>
      </c>
      <c r="G174" s="9">
        <f>F174/SUM(F90:F101)-1</f>
        <v>-7.3424976669997921E-2</v>
      </c>
      <c r="H174" s="5">
        <f>SUM(H102:H113)</f>
        <v>1251432</v>
      </c>
      <c r="I174" s="99">
        <f>H174/H173-1</f>
        <v>9.2747569017547882E-2</v>
      </c>
      <c r="J174" s="5">
        <f>SUM(J102:J113)</f>
        <v>350</v>
      </c>
      <c r="K174" s="9">
        <f>J174/SUM(J90:J101)-1</f>
        <v>-0.2662473794549266</v>
      </c>
      <c r="L174" s="5">
        <f>SUM(L102:L113)</f>
        <v>8257</v>
      </c>
      <c r="M174" s="9">
        <f>L174/SUM(L90:L101)-1</f>
        <v>-0.11100344530577089</v>
      </c>
      <c r="N174" s="100">
        <v>11030</v>
      </c>
      <c r="O174" s="9">
        <f>N174/SUM(N90:N101)-1</f>
        <v>0.12459216965742259</v>
      </c>
      <c r="P174" s="100">
        <v>3437</v>
      </c>
      <c r="Q174" s="9">
        <f>P174/P173-1</f>
        <v>3.8054968287526414E-2</v>
      </c>
      <c r="R174" s="5">
        <f>SUM(R102:R113)</f>
        <v>4511</v>
      </c>
      <c r="S174" s="9"/>
      <c r="T174" s="5">
        <f>SUM(T102:T113)</f>
        <v>2313</v>
      </c>
      <c r="U174" s="9">
        <f>T174/T173-1</f>
        <v>-4.6971569839307836E-2</v>
      </c>
      <c r="V174" s="5">
        <v>13318</v>
      </c>
      <c r="W174" s="9">
        <f t="shared" si="51"/>
        <v>0.10440335019487519</v>
      </c>
      <c r="X174" s="5">
        <v>47615</v>
      </c>
      <c r="Y174" s="9">
        <f>X174/X173-1</f>
        <v>0.18142570032007543</v>
      </c>
      <c r="Z174" s="5">
        <f>SUM(Z102:Z113)</f>
        <v>419</v>
      </c>
      <c r="AA174" s="9">
        <f>Z174/SUM(Z90:Z101)-1</f>
        <v>-4.5558086560364419E-2</v>
      </c>
      <c r="AB174" s="5">
        <f>SUM(AB102:AB113)</f>
        <v>49989</v>
      </c>
      <c r="AC174" s="9">
        <f>AB174/SUM(AB90:AB101)-1</f>
        <v>0.12007618194039882</v>
      </c>
    </row>
    <row r="175" spans="1:42" s="152" customFormat="1" ht="16.5" customHeight="1" thickBot="1">
      <c r="A175" s="14" t="s">
        <v>65</v>
      </c>
      <c r="B175" s="62" t="s">
        <v>57</v>
      </c>
      <c r="C175" s="5">
        <f>SUM(C114:C125)</f>
        <v>14846485</v>
      </c>
      <c r="D175" s="9">
        <f>C175/SUM(C102:C113)-1</f>
        <v>8.0768067149567635E-2</v>
      </c>
      <c r="E175" s="178"/>
      <c r="F175" s="5">
        <f>SUM(F114:F125)</f>
        <v>144579</v>
      </c>
      <c r="G175" s="9">
        <f>F175/SUM(F102:F113)-1</f>
        <v>3.2714519389424268E-2</v>
      </c>
      <c r="H175" s="5">
        <f>SUM(H114:H125)</f>
        <v>1359924</v>
      </c>
      <c r="I175" s="99">
        <f>H175/SUM(H102:H113)-1</f>
        <v>8.6694283029361552E-2</v>
      </c>
      <c r="J175" s="5">
        <f>SUM(J114:J125)</f>
        <v>369</v>
      </c>
      <c r="K175" s="9">
        <f>J175/SUM(J102:J113)-1</f>
        <v>5.428571428571427E-2</v>
      </c>
      <c r="L175" s="5">
        <f>SUM(L114:L125)</f>
        <v>8182</v>
      </c>
      <c r="M175" s="9">
        <f>L175/SUM(L102:L113)-1</f>
        <v>-9.0832021315248035E-3</v>
      </c>
      <c r="N175" s="100">
        <f>SUM(N114:N125)</f>
        <v>10766</v>
      </c>
      <c r="O175" s="9">
        <f>N175/SUM(N102:N113)-1</f>
        <v>-2.3934723481414344E-2</v>
      </c>
      <c r="P175" s="100">
        <f>SUM(P114:P125)</f>
        <v>3482</v>
      </c>
      <c r="Q175" s="9">
        <f>P175/SUM(P102:P113)-1</f>
        <v>1.3092813500145573E-2</v>
      </c>
      <c r="R175" s="5">
        <f>SUM(R114:R125)</f>
        <v>3780</v>
      </c>
      <c r="S175" s="9">
        <f>R175/SUM(R100:R113)-1</f>
        <v>-0.162048326313456</v>
      </c>
      <c r="T175" s="5">
        <f>SUM(T114:T125)</f>
        <v>2566</v>
      </c>
      <c r="U175" s="9">
        <f>T175/SUM(T102:T113)-1</f>
        <v>0.10938175529615224</v>
      </c>
      <c r="V175" s="5">
        <v>14000</v>
      </c>
      <c r="W175" s="9">
        <f>V175/V174-1</f>
        <v>5.1208890223757297E-2</v>
      </c>
      <c r="X175" s="5">
        <f>X114</f>
        <v>59249</v>
      </c>
      <c r="Y175" s="212">
        <f>X175/X174-1</f>
        <v>0.24433476845531876</v>
      </c>
      <c r="Z175" s="5">
        <f>SUM(Z114:Z125)</f>
        <v>286</v>
      </c>
      <c r="AA175" s="9">
        <f>Z175/SUM(Z100:Z113)-1</f>
        <v>-0.41632653061224489</v>
      </c>
      <c r="AB175" s="5">
        <f>SUM(AB114)</f>
        <v>44339</v>
      </c>
      <c r="AC175" s="9">
        <f>AB175/AB174-1</f>
        <v>-0.11302486547040347</v>
      </c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</row>
    <row r="176" spans="1:42" s="297" customFormat="1" ht="16.5" customHeight="1" thickBot="1">
      <c r="A176" s="104" t="s">
        <v>87</v>
      </c>
      <c r="B176" s="105" t="s">
        <v>57</v>
      </c>
      <c r="C176" s="123">
        <f>SUM(C126:C137)</f>
        <v>16080684</v>
      </c>
      <c r="D176" s="124">
        <f>C176/SUM(C114:C125)-1</f>
        <v>8.3130720840656869E-2</v>
      </c>
      <c r="E176" s="295"/>
      <c r="F176" s="123">
        <f>SUM(F126:F137)</f>
        <v>162536</v>
      </c>
      <c r="G176" s="124">
        <f>F176/SUM(F114:F125)-1</f>
        <v>0.12420199337386473</v>
      </c>
      <c r="H176" s="123">
        <f>SUM(H126:H137)</f>
        <v>1449538</v>
      </c>
      <c r="I176" s="124">
        <f>H176/SUM(H114:H125)-1</f>
        <v>6.5896329500766182E-2</v>
      </c>
      <c r="J176" s="123">
        <f>SUM(J126:J137)</f>
        <v>425</v>
      </c>
      <c r="K176" s="124">
        <f>J176/SUM(J114:J125)-1</f>
        <v>0.15176151761517609</v>
      </c>
      <c r="L176" s="123">
        <f>SUM(L126:L137)</f>
        <v>9850</v>
      </c>
      <c r="M176" s="124">
        <f>L176/SUM(L114:L125)-1</f>
        <v>0.20386213639696904</v>
      </c>
      <c r="N176" s="123">
        <f>SUM(N126:N137)</f>
        <v>12631</v>
      </c>
      <c r="O176" s="124">
        <f>N176/SUM(N114:N125)-1</f>
        <v>0.17323054059074861</v>
      </c>
      <c r="P176" s="123">
        <f>SUM(P126:P137)</f>
        <v>3952</v>
      </c>
      <c r="Q176" s="124">
        <f>P176/SUM(P114:P125)-1</f>
        <v>0.13497989661114307</v>
      </c>
      <c r="R176" s="123">
        <f>SUM(R126:R137)</f>
        <v>3880</v>
      </c>
      <c r="S176" s="124">
        <f>R176/SUM(R114:R125)-1</f>
        <v>2.6455026455026509E-2</v>
      </c>
      <c r="T176" s="123">
        <f>SUM(T126:T137)</f>
        <v>1341</v>
      </c>
      <c r="U176" s="124">
        <f>T176/SUM(T114:T121)-1</f>
        <v>-0.28288770053475931</v>
      </c>
      <c r="V176" s="123">
        <f>SUM(V126:V137)</f>
        <v>12915</v>
      </c>
      <c r="W176" s="124">
        <f>V176/SUM(V114)-1</f>
        <v>0.15570469798657727</v>
      </c>
      <c r="X176" s="123">
        <f>X126</f>
        <v>75090</v>
      </c>
      <c r="Y176" s="124">
        <f>X176/SUM(X114)-1</f>
        <v>0.26736316224746415</v>
      </c>
      <c r="Z176" s="123">
        <f>SUM(Z126:Z137)</f>
        <v>0</v>
      </c>
      <c r="AA176" s="124"/>
      <c r="AB176" s="123">
        <f>SUM(AB126:AB137)</f>
        <v>45522</v>
      </c>
      <c r="AC176" s="124">
        <f>AB176/AB175-1</f>
        <v>2.6680800198470855E-2</v>
      </c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</row>
    <row r="177" spans="1:29" ht="16.5" customHeight="1" thickBot="1">
      <c r="A177" s="104" t="s">
        <v>100</v>
      </c>
      <c r="B177" s="105" t="s">
        <v>57</v>
      </c>
      <c r="C177" s="123">
        <f>SUM(C138:C149)</f>
        <v>19310430</v>
      </c>
      <c r="D177" s="124">
        <f>C177/SUM(C126:C136)-1</f>
        <v>0.31811745891998555</v>
      </c>
      <c r="E177" s="178"/>
      <c r="F177" s="123">
        <f>SUM(F138:F149)</f>
        <v>188585</v>
      </c>
      <c r="G177" s="124">
        <f>F177/SUM(F126:F137)-1</f>
        <v>0.16026603337106859</v>
      </c>
      <c r="H177" s="123">
        <f>SUM(H138:H149)</f>
        <v>1764871</v>
      </c>
      <c r="I177" s="124">
        <f>H177/SUM(H126:H137)-1</f>
        <v>0.21754034733825534</v>
      </c>
      <c r="J177" s="123">
        <f>SUM(J138:J149)</f>
        <v>426</v>
      </c>
      <c r="K177" s="124">
        <f>J177/SUM(J126:J136)-1</f>
        <v>9.7938144329897003E-2</v>
      </c>
      <c r="L177" s="123"/>
      <c r="M177" s="124"/>
      <c r="N177" s="123">
        <f>SUM(N138:N149)</f>
        <v>16379</v>
      </c>
      <c r="O177" s="124">
        <f>N177/SUM(N126:N137)-1</f>
        <v>0.29673026680389514</v>
      </c>
      <c r="P177" s="123">
        <f>SUM(P138:P149)</f>
        <v>2156</v>
      </c>
      <c r="Q177" s="124">
        <f>P177/SUM(P126:P131)-1</f>
        <v>8.1243731193580748E-2</v>
      </c>
      <c r="R177" s="123">
        <f>SUM(R138:R149)</f>
        <v>5100</v>
      </c>
      <c r="S177" s="124">
        <f>R177/SUM(R126:R137)-1</f>
        <v>0.31443298969072164</v>
      </c>
      <c r="T177" s="123"/>
      <c r="U177" s="124"/>
      <c r="V177" s="123"/>
      <c r="W177" s="124"/>
      <c r="X177" s="123">
        <f>SUM(X138:X149)</f>
        <v>95434</v>
      </c>
      <c r="Y177" s="124">
        <f>X177/X176-1</f>
        <v>0.27092821946996937</v>
      </c>
      <c r="Z177" s="123"/>
      <c r="AA177" s="124"/>
      <c r="AB177" s="123"/>
      <c r="AC177" s="124"/>
    </row>
    <row r="178" spans="1:29" ht="16.5" customHeight="1" thickBot="1">
      <c r="A178" s="104" t="s">
        <v>219</v>
      </c>
      <c r="B178" s="105" t="s">
        <v>222</v>
      </c>
      <c r="C178" s="123">
        <f>SUM(C150:C161)</f>
        <v>22383190</v>
      </c>
      <c r="D178" s="124">
        <f>C178/SUM(C138:C149)-1</f>
        <v>0.15912436957644127</v>
      </c>
      <c r="E178" s="178"/>
      <c r="F178" s="123">
        <f>IFERROR(SUM(F150:F161),"-")</f>
        <v>165712</v>
      </c>
      <c r="G178" s="124">
        <f>IFERROR(F178/SUM(F138:F145)-1,"-")</f>
        <v>0.28242195359779587</v>
      </c>
      <c r="H178" s="123">
        <f>IFERROR(SUM(H150:H161),"-")</f>
        <v>1112140</v>
      </c>
      <c r="I178" s="124">
        <f>IFERROR(H178/SUM(H138:H144)-1,"-")</f>
        <v>0.11513637143003241</v>
      </c>
      <c r="J178" s="123">
        <f>IFERROR(SUM(J150:J161),"-")</f>
        <v>345</v>
      </c>
      <c r="K178" s="124">
        <f>IFERROR(J178/SUM(J138:J148)-1,"-")</f>
        <v>-0.11538461538461542</v>
      </c>
      <c r="L178" s="123"/>
      <c r="M178" s="124"/>
      <c r="N178" s="123">
        <f>IFERROR(SUM(N150:N161),"-")</f>
        <v>11412</v>
      </c>
      <c r="O178" s="124">
        <f>IFERROR(N178/SUM(N138:N145)-1,"-")</f>
        <v>1.7656500802568198E-2</v>
      </c>
      <c r="P178" s="123"/>
      <c r="Q178" s="124"/>
      <c r="R178" s="123">
        <f>IFERROR(SUM(R150:R161),"-")</f>
        <v>492</v>
      </c>
      <c r="S178" s="124">
        <f>IFERROR(R178/SUM(R138:R138)-1,"-")</f>
        <v>0.12072892938496582</v>
      </c>
      <c r="T178" s="123"/>
      <c r="U178" s="124"/>
      <c r="V178" s="123">
        <f>IFERROR(SUM(V150:V161),"-")</f>
        <v>7579</v>
      </c>
      <c r="W178" s="124" t="s">
        <v>228</v>
      </c>
      <c r="X178" s="123"/>
      <c r="Y178" s="124"/>
      <c r="Z178" s="123"/>
      <c r="AA178" s="124"/>
      <c r="AB178" s="123"/>
      <c r="AC178" s="124"/>
    </row>
    <row r="179" spans="1:29" ht="40.5" customHeight="1">
      <c r="G179" s="169"/>
      <c r="V179" s="503" t="s">
        <v>217</v>
      </c>
      <c r="W179" s="503"/>
      <c r="X179" s="503" t="s">
        <v>216</v>
      </c>
      <c r="Y179" s="503"/>
    </row>
    <row r="181" spans="1:29">
      <c r="F181" s="154"/>
    </row>
    <row r="182" spans="1:29">
      <c r="V182" s="154"/>
    </row>
    <row r="183" spans="1:29">
      <c r="M183" s="154"/>
    </row>
    <row r="184" spans="1:29">
      <c r="P184" s="171"/>
      <c r="Q184" s="171"/>
      <c r="R184" s="173"/>
      <c r="S184" s="173"/>
      <c r="T184" s="172"/>
      <c r="U184" s="173"/>
      <c r="V184" s="173"/>
      <c r="W184" s="173"/>
      <c r="X184" s="173"/>
      <c r="Y184" s="173"/>
      <c r="Z184" s="173"/>
      <c r="AA184" s="173"/>
      <c r="AB184" s="173"/>
      <c r="AC184" s="173"/>
    </row>
  </sheetData>
  <mergeCells count="72">
    <mergeCell ref="A150:A161"/>
    <mergeCell ref="AB114:AB125"/>
    <mergeCell ref="A138:A149"/>
    <mergeCell ref="A126:A137"/>
    <mergeCell ref="AB126:AB137"/>
    <mergeCell ref="AC126:AC137"/>
    <mergeCell ref="N146:N147"/>
    <mergeCell ref="O146:O147"/>
    <mergeCell ref="V138:V143"/>
    <mergeCell ref="W138:W143"/>
    <mergeCell ref="Y138:Y149"/>
    <mergeCell ref="V126:V137"/>
    <mergeCell ref="V144:V146"/>
    <mergeCell ref="W144:W146"/>
    <mergeCell ref="AC114:AC125"/>
    <mergeCell ref="AB3:AC3"/>
    <mergeCell ref="V3:W3"/>
    <mergeCell ref="T3:U3"/>
    <mergeCell ref="X102:X113"/>
    <mergeCell ref="X114:X125"/>
    <mergeCell ref="W6:W17"/>
    <mergeCell ref="W18:W29"/>
    <mergeCell ref="Y102:Y113"/>
    <mergeCell ref="V102:V113"/>
    <mergeCell ref="W42:W53"/>
    <mergeCell ref="W54:W65"/>
    <mergeCell ref="W66:W77"/>
    <mergeCell ref="V90:V101"/>
    <mergeCell ref="W90:W101"/>
    <mergeCell ref="V6:V17"/>
    <mergeCell ref="W78:W89"/>
    <mergeCell ref="V179:W179"/>
    <mergeCell ref="X179:Y179"/>
    <mergeCell ref="W102:W113"/>
    <mergeCell ref="W114:W125"/>
    <mergeCell ref="W126:W137"/>
    <mergeCell ref="X126:X137"/>
    <mergeCell ref="Y126:Y137"/>
    <mergeCell ref="Y114:Y125"/>
    <mergeCell ref="V114:V125"/>
    <mergeCell ref="A6:A17"/>
    <mergeCell ref="V18:V29"/>
    <mergeCell ref="V30:V41"/>
    <mergeCell ref="V42:V53"/>
    <mergeCell ref="V78:V89"/>
    <mergeCell ref="A66:A77"/>
    <mergeCell ref="A54:A65"/>
    <mergeCell ref="A42:A53"/>
    <mergeCell ref="A30:A41"/>
    <mergeCell ref="A18:A29"/>
    <mergeCell ref="C1:K1"/>
    <mergeCell ref="W30:W41"/>
    <mergeCell ref="P3:Q3"/>
    <mergeCell ref="A114:A125"/>
    <mergeCell ref="A102:A113"/>
    <mergeCell ref="A90:A101"/>
    <mergeCell ref="A78:A89"/>
    <mergeCell ref="C3:D3"/>
    <mergeCell ref="V66:V77"/>
    <mergeCell ref="V54:V65"/>
    <mergeCell ref="C2:D2"/>
    <mergeCell ref="N3:O3"/>
    <mergeCell ref="F2:G2"/>
    <mergeCell ref="H3:I3"/>
    <mergeCell ref="A2:B5"/>
    <mergeCell ref="A1:B1"/>
    <mergeCell ref="Z3:AA3"/>
    <mergeCell ref="L3:M3"/>
    <mergeCell ref="J3:K3"/>
    <mergeCell ref="R3:S3"/>
    <mergeCell ref="F3:G3"/>
    <mergeCell ref="X3:Y3"/>
  </mergeCells>
  <phoneticPr fontId="2" type="noConversion"/>
  <pageMargins left="0.15748031496062992" right="0.15748031496062992" top="0.39370078740157483" bottom="0" header="0.11811023622047245" footer="0"/>
  <pageSetup paperSize="9" scale="50" orientation="landscape" r:id="rId1"/>
  <headerFooter alignWithMargins="0"/>
  <ignoredErrors>
    <ignoredError sqref="M125" formula="1"/>
    <ignoredError sqref="C167:C174 D165:M165 D167:F175 D166:H166 J166:M166 N166:Q167 N170:Q173 Z166:AA172 R173:R175 C176:E176 N174:N176 Z176 R166:S172 N168:P168 N169:P169" formulaRange="1"/>
    <ignoredError sqref="I166 O174:Q175 Z173:AA175 G168:M168 O176:Q176 S173:S175 R176:S176 H176:M176 G170:M175 G169:L169 G167:J167 L167:M167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79"/>
  <sheetViews>
    <sheetView zoomScaleNormal="100" workbookViewId="0">
      <pane xSplit="2" ySplit="5" topLeftCell="C152" activePane="bottomRight" state="frozen"/>
      <selection pane="topRight" activeCell="C1" sqref="C1"/>
      <selection pane="bottomLeft" activeCell="A6" sqref="A6"/>
      <selection pane="bottomRight" activeCell="C178" sqref="C178"/>
    </sheetView>
  </sheetViews>
  <sheetFormatPr defaultRowHeight="16.5"/>
  <cols>
    <col min="1" max="1" width="6.109375" style="151" bestFit="1" customWidth="1"/>
    <col min="2" max="2" width="4.5546875" style="151" bestFit="1" customWidth="1"/>
    <col min="3" max="3" width="9" style="151" bestFit="1" customWidth="1"/>
    <col min="4" max="4" width="7.33203125" style="151" bestFit="1" customWidth="1"/>
    <col min="5" max="5" width="2.5546875" style="151" customWidth="1"/>
    <col min="6" max="6" width="8.88671875" style="151" customWidth="1"/>
    <col min="7" max="8" width="7.77734375" style="151" bestFit="1" customWidth="1"/>
    <col min="9" max="9" width="9.44140625" style="151" bestFit="1" customWidth="1"/>
    <col min="10" max="13" width="7.77734375" style="151" bestFit="1" customWidth="1"/>
    <col min="14" max="14" width="12.88671875" style="151" customWidth="1"/>
    <col min="15" max="15" width="10.44140625" style="151" customWidth="1"/>
    <col min="16" max="16384" width="8.88671875" style="151"/>
  </cols>
  <sheetData>
    <row r="1" spans="1:15" s="152" customFormat="1" ht="32.25" thickBot="1">
      <c r="A1" s="460"/>
      <c r="B1" s="460"/>
      <c r="C1" s="434" t="s">
        <v>230</v>
      </c>
      <c r="D1" s="434"/>
      <c r="E1" s="434"/>
      <c r="F1" s="434"/>
      <c r="G1" s="434"/>
      <c r="H1" s="434"/>
      <c r="I1" s="434"/>
      <c r="J1" s="434"/>
      <c r="K1" s="434"/>
      <c r="L1" s="174"/>
    </row>
    <row r="2" spans="1:15" s="175" customFormat="1" ht="24.75" thickBot="1">
      <c r="A2" s="512"/>
      <c r="B2" s="513"/>
      <c r="C2" s="463" t="s">
        <v>0</v>
      </c>
      <c r="D2" s="464"/>
      <c r="E2" s="179"/>
      <c r="F2" s="258" t="s">
        <v>200</v>
      </c>
      <c r="G2" s="127"/>
      <c r="H2" s="127"/>
      <c r="I2" s="145"/>
      <c r="J2" s="145"/>
      <c r="K2" s="145"/>
      <c r="L2" s="145"/>
      <c r="M2" s="145"/>
      <c r="N2" s="145"/>
      <c r="O2" s="144"/>
    </row>
    <row r="3" spans="1:15" s="176" customFormat="1" ht="17.25">
      <c r="A3" s="514"/>
      <c r="B3" s="515"/>
      <c r="C3" s="441" t="s">
        <v>101</v>
      </c>
      <c r="D3" s="442"/>
      <c r="E3" s="179"/>
      <c r="F3" s="441" t="s">
        <v>6</v>
      </c>
      <c r="G3" s="442"/>
      <c r="H3" s="441" t="s">
        <v>94</v>
      </c>
      <c r="I3" s="442"/>
      <c r="J3" s="441" t="s">
        <v>95</v>
      </c>
      <c r="K3" s="442"/>
      <c r="L3" s="441" t="s">
        <v>96</v>
      </c>
      <c r="M3" s="442"/>
      <c r="N3" s="441" t="s">
        <v>97</v>
      </c>
      <c r="O3" s="442"/>
    </row>
    <row r="4" spans="1:15" s="152" customFormat="1" ht="13.5">
      <c r="A4" s="514"/>
      <c r="B4" s="515"/>
      <c r="C4" s="106" t="s">
        <v>8</v>
      </c>
      <c r="D4" s="107" t="s">
        <v>9</v>
      </c>
      <c r="E4" s="217"/>
      <c r="F4" s="106" t="s">
        <v>10</v>
      </c>
      <c r="G4" s="107" t="s">
        <v>64</v>
      </c>
      <c r="H4" s="106" t="s">
        <v>10</v>
      </c>
      <c r="I4" s="107" t="s">
        <v>40</v>
      </c>
      <c r="J4" s="106" t="s">
        <v>10</v>
      </c>
      <c r="K4" s="107" t="s">
        <v>64</v>
      </c>
      <c r="L4" s="106" t="s">
        <v>10</v>
      </c>
      <c r="M4" s="107" t="s">
        <v>64</v>
      </c>
      <c r="N4" s="106" t="s">
        <v>10</v>
      </c>
      <c r="O4" s="107" t="s">
        <v>64</v>
      </c>
    </row>
    <row r="5" spans="1:15" s="152" customFormat="1" ht="14.25" thickBot="1">
      <c r="A5" s="516"/>
      <c r="B5" s="517"/>
      <c r="C5" s="109" t="s">
        <v>14</v>
      </c>
      <c r="D5" s="213" t="s">
        <v>15</v>
      </c>
      <c r="E5" s="217"/>
      <c r="F5" s="148" t="s">
        <v>14</v>
      </c>
      <c r="G5" s="107" t="s">
        <v>15</v>
      </c>
      <c r="H5" s="106" t="s">
        <v>14</v>
      </c>
      <c r="I5" s="150" t="s">
        <v>15</v>
      </c>
      <c r="J5" s="148" t="s">
        <v>14</v>
      </c>
      <c r="K5" s="107" t="s">
        <v>15</v>
      </c>
      <c r="L5" s="148" t="s">
        <v>14</v>
      </c>
      <c r="M5" s="107" t="s">
        <v>15</v>
      </c>
      <c r="N5" s="148" t="s">
        <v>14</v>
      </c>
      <c r="O5" s="107" t="s">
        <v>15</v>
      </c>
    </row>
    <row r="6" spans="1:15" s="152" customFormat="1" ht="13.5" hidden="1" customHeight="1">
      <c r="A6" s="518" t="s">
        <v>34</v>
      </c>
      <c r="B6" s="15" t="s">
        <v>35</v>
      </c>
      <c r="C6" s="3">
        <v>793478</v>
      </c>
      <c r="D6" s="4"/>
      <c r="E6" s="179"/>
      <c r="F6" s="5">
        <v>18575</v>
      </c>
      <c r="G6" s="6"/>
      <c r="H6" s="3">
        <v>25900</v>
      </c>
      <c r="I6" s="4"/>
      <c r="J6" s="5">
        <v>76</v>
      </c>
      <c r="K6" s="6"/>
      <c r="L6" s="5"/>
      <c r="M6" s="6"/>
      <c r="N6" s="5">
        <v>7825</v>
      </c>
      <c r="O6" s="36">
        <v>4.0915435617075779E-2</v>
      </c>
    </row>
    <row r="7" spans="1:15" s="152" customFormat="1" ht="13.5" hidden="1" customHeight="1">
      <c r="A7" s="461"/>
      <c r="B7" s="15" t="s">
        <v>36</v>
      </c>
      <c r="C7" s="3">
        <v>670447</v>
      </c>
      <c r="D7" s="4"/>
      <c r="E7" s="179"/>
      <c r="F7" s="5">
        <v>10941</v>
      </c>
      <c r="G7" s="6"/>
      <c r="H7" s="3">
        <v>19300</v>
      </c>
      <c r="I7" s="4"/>
      <c r="J7" s="5">
        <v>68</v>
      </c>
      <c r="K7" s="6"/>
      <c r="L7" s="5"/>
      <c r="M7" s="6"/>
      <c r="N7" s="5">
        <v>6434</v>
      </c>
      <c r="O7" s="36">
        <v>-0.15179579850914837</v>
      </c>
    </row>
    <row r="8" spans="1:15" s="152" customFormat="1" ht="13.5" hidden="1" customHeight="1">
      <c r="A8" s="461"/>
      <c r="B8" s="15" t="s">
        <v>21</v>
      </c>
      <c r="C8" s="3">
        <v>587629</v>
      </c>
      <c r="D8" s="4"/>
      <c r="E8" s="179"/>
      <c r="F8" s="5">
        <v>8274</v>
      </c>
      <c r="G8" s="6"/>
      <c r="H8" s="3">
        <v>15200</v>
      </c>
      <c r="I8" s="4"/>
      <c r="J8" s="5">
        <v>56</v>
      </c>
      <c r="K8" s="6"/>
      <c r="L8" s="5"/>
      <c r="M8" s="6"/>
      <c r="N8" s="5">
        <v>4228</v>
      </c>
      <c r="O8" s="36">
        <v>-1.0424512669097052E-2</v>
      </c>
    </row>
    <row r="9" spans="1:15" s="152" customFormat="1" ht="13.5" hidden="1" customHeight="1">
      <c r="A9" s="461"/>
      <c r="B9" s="15" t="s">
        <v>22</v>
      </c>
      <c r="C9" s="3">
        <v>642413</v>
      </c>
      <c r="D9" s="4"/>
      <c r="E9" s="179"/>
      <c r="F9" s="5">
        <v>7077</v>
      </c>
      <c r="G9" s="6"/>
      <c r="H9" s="3">
        <v>14100</v>
      </c>
      <c r="I9" s="4"/>
      <c r="J9" s="5">
        <v>71</v>
      </c>
      <c r="K9" s="6"/>
      <c r="L9" s="5"/>
      <c r="M9" s="6"/>
      <c r="N9" s="5">
        <v>4827</v>
      </c>
      <c r="O9" s="36">
        <v>-1.903624613655519E-2</v>
      </c>
    </row>
    <row r="10" spans="1:15" s="152" customFormat="1" ht="13.5" hidden="1" customHeight="1">
      <c r="A10" s="461"/>
      <c r="B10" s="15" t="s">
        <v>23</v>
      </c>
      <c r="C10" s="3">
        <v>680185</v>
      </c>
      <c r="D10" s="4"/>
      <c r="E10" s="179"/>
      <c r="F10" s="5">
        <v>6696</v>
      </c>
      <c r="G10" s="6"/>
      <c r="H10" s="3">
        <v>16100</v>
      </c>
      <c r="I10" s="4"/>
      <c r="J10" s="5">
        <v>966</v>
      </c>
      <c r="K10" s="6"/>
      <c r="L10" s="5"/>
      <c r="M10" s="6"/>
      <c r="N10" s="5">
        <v>4294</v>
      </c>
      <c r="O10" s="36">
        <v>-1.6860712764447006E-2</v>
      </c>
    </row>
    <row r="11" spans="1:15" s="152" customFormat="1" ht="13.5" hidden="1" customHeight="1">
      <c r="A11" s="461"/>
      <c r="B11" s="15" t="s">
        <v>24</v>
      </c>
      <c r="C11" s="3">
        <v>712260</v>
      </c>
      <c r="D11" s="4"/>
      <c r="E11" s="179"/>
      <c r="F11" s="5">
        <v>6384</v>
      </c>
      <c r="G11" s="6"/>
      <c r="H11" s="3">
        <v>14200</v>
      </c>
      <c r="I11" s="4"/>
      <c r="J11" s="5">
        <v>1208</v>
      </c>
      <c r="K11" s="6"/>
      <c r="L11" s="5"/>
      <c r="M11" s="6"/>
      <c r="N11" s="5">
        <v>5967</v>
      </c>
      <c r="O11" s="36">
        <v>-7.1689720309548455E-2</v>
      </c>
    </row>
    <row r="12" spans="1:15" s="152" customFormat="1" ht="13.5" hidden="1" customHeight="1">
      <c r="A12" s="461"/>
      <c r="B12" s="15" t="s">
        <v>25</v>
      </c>
      <c r="C12" s="3">
        <v>897234</v>
      </c>
      <c r="D12" s="4"/>
      <c r="E12" s="179"/>
      <c r="F12" s="5">
        <v>10220</v>
      </c>
      <c r="G12" s="6"/>
      <c r="H12" s="3">
        <v>19900</v>
      </c>
      <c r="I12" s="4"/>
      <c r="J12" s="5">
        <v>172</v>
      </c>
      <c r="K12" s="6"/>
      <c r="L12" s="5"/>
      <c r="M12" s="6"/>
      <c r="N12" s="5">
        <v>7208</v>
      </c>
      <c r="O12" s="36">
        <v>-2.2817367418921819E-2</v>
      </c>
    </row>
    <row r="13" spans="1:15" s="152" customFormat="1" ht="13.5" hidden="1" customHeight="1">
      <c r="A13" s="461"/>
      <c r="B13" s="15" t="s">
        <v>26</v>
      </c>
      <c r="C13" s="3">
        <v>930573</v>
      </c>
      <c r="D13" s="4"/>
      <c r="E13" s="179"/>
      <c r="F13" s="5">
        <v>7150</v>
      </c>
      <c r="G13" s="6"/>
      <c r="H13" s="3">
        <v>14900</v>
      </c>
      <c r="I13" s="4"/>
      <c r="J13" s="5">
        <v>38</v>
      </c>
      <c r="K13" s="6"/>
      <c r="L13" s="5"/>
      <c r="M13" s="6"/>
      <c r="N13" s="5">
        <v>8530</v>
      </c>
      <c r="O13" s="36">
        <v>6.179031696273074E-2</v>
      </c>
    </row>
    <row r="14" spans="1:15" s="152" customFormat="1" ht="13.5" hidden="1" customHeight="1">
      <c r="A14" s="461"/>
      <c r="B14" s="15" t="s">
        <v>27</v>
      </c>
      <c r="C14" s="3">
        <v>682244</v>
      </c>
      <c r="D14" s="4"/>
      <c r="E14" s="179"/>
      <c r="F14" s="5">
        <v>6860</v>
      </c>
      <c r="G14" s="6"/>
      <c r="H14" s="3">
        <v>13800</v>
      </c>
      <c r="I14" s="4"/>
      <c r="J14" s="5">
        <v>18</v>
      </c>
      <c r="K14" s="6"/>
      <c r="L14" s="5"/>
      <c r="M14" s="6"/>
      <c r="N14" s="5">
        <v>4508</v>
      </c>
      <c r="O14" s="36">
        <v>1.1790694463620133E-2</v>
      </c>
    </row>
    <row r="15" spans="1:15" s="152" customFormat="1" ht="13.5" hidden="1" customHeight="1">
      <c r="A15" s="461"/>
      <c r="B15" s="15" t="s">
        <v>28</v>
      </c>
      <c r="C15" s="3">
        <v>757538</v>
      </c>
      <c r="D15" s="4"/>
      <c r="E15" s="179"/>
      <c r="F15" s="5">
        <v>9156</v>
      </c>
      <c r="G15" s="6"/>
      <c r="H15" s="3">
        <v>17800</v>
      </c>
      <c r="I15" s="4"/>
      <c r="J15" s="5">
        <v>806</v>
      </c>
      <c r="K15" s="6"/>
      <c r="L15" s="5"/>
      <c r="M15" s="6"/>
      <c r="N15" s="5">
        <v>3156</v>
      </c>
      <c r="O15" s="36">
        <v>-0.20971804379766323</v>
      </c>
    </row>
    <row r="16" spans="1:15" s="152" customFormat="1" ht="13.5" hidden="1" customHeight="1">
      <c r="A16" s="461"/>
      <c r="B16" s="15" t="s">
        <v>29</v>
      </c>
      <c r="C16" s="3">
        <v>745887</v>
      </c>
      <c r="D16" s="4"/>
      <c r="E16" s="179"/>
      <c r="F16" s="5">
        <v>12075</v>
      </c>
      <c r="G16" s="6"/>
      <c r="H16" s="3">
        <v>21200</v>
      </c>
      <c r="I16" s="4"/>
      <c r="J16" s="5">
        <v>1163</v>
      </c>
      <c r="K16" s="6"/>
      <c r="L16" s="5"/>
      <c r="M16" s="6"/>
      <c r="N16" s="5">
        <v>4723</v>
      </c>
      <c r="O16" s="36">
        <v>-0.2811124975372693</v>
      </c>
    </row>
    <row r="17" spans="1:15" s="152" customFormat="1" ht="13.5" hidden="1" customHeight="1">
      <c r="A17" s="462"/>
      <c r="B17" s="15" t="s">
        <v>30</v>
      </c>
      <c r="C17" s="3">
        <v>725697</v>
      </c>
      <c r="D17" s="4"/>
      <c r="E17" s="179"/>
      <c r="F17" s="5">
        <v>10500</v>
      </c>
      <c r="G17" s="6"/>
      <c r="H17" s="3">
        <v>19400</v>
      </c>
      <c r="I17" s="4"/>
      <c r="J17" s="5">
        <v>1031</v>
      </c>
      <c r="K17" s="6"/>
      <c r="L17" s="5"/>
      <c r="M17" s="6"/>
      <c r="N17" s="5">
        <v>6492</v>
      </c>
      <c r="O17" s="36">
        <v>-0.29304718506541227</v>
      </c>
    </row>
    <row r="18" spans="1:15" s="152" customFormat="1" ht="13.5" hidden="1" customHeight="1">
      <c r="A18" s="457" t="s">
        <v>169</v>
      </c>
      <c r="B18" s="2" t="s">
        <v>170</v>
      </c>
      <c r="C18" s="23">
        <v>897406</v>
      </c>
      <c r="D18" s="24">
        <f t="shared" ref="D18:D43" si="0">(C18-C6)/C6</f>
        <v>0.13097779648585089</v>
      </c>
      <c r="E18" s="179"/>
      <c r="F18" s="23">
        <v>16704</v>
      </c>
      <c r="G18" s="24">
        <f t="shared" ref="G18:G58" si="1">(F18-F6)/F6</f>
        <v>-0.10072678331090175</v>
      </c>
      <c r="H18" s="23">
        <v>33300</v>
      </c>
      <c r="I18" s="24">
        <f t="shared" ref="I18:I55" si="2">(H18-H6)/H6</f>
        <v>0.2857142857142857</v>
      </c>
      <c r="J18" s="23">
        <v>1292</v>
      </c>
      <c r="K18" s="24">
        <f>(J18-J6)/J6</f>
        <v>16</v>
      </c>
      <c r="L18" s="23"/>
      <c r="M18" s="24"/>
      <c r="N18" s="23">
        <v>7554</v>
      </c>
      <c r="O18" s="24">
        <f t="shared" ref="O18:O55" si="3">(N18-N6)/N6</f>
        <v>-3.463258785942492E-2</v>
      </c>
    </row>
    <row r="19" spans="1:15" s="152" customFormat="1" ht="13.5" hidden="1" customHeight="1">
      <c r="A19" s="461"/>
      <c r="B19" s="15" t="s">
        <v>171</v>
      </c>
      <c r="C19" s="3">
        <v>745998</v>
      </c>
      <c r="D19" s="9">
        <f t="shared" si="0"/>
        <v>0.1126875055000619</v>
      </c>
      <c r="E19" s="179"/>
      <c r="F19" s="5">
        <v>11154</v>
      </c>
      <c r="G19" s="36">
        <f t="shared" si="1"/>
        <v>1.9468055936386071E-2</v>
      </c>
      <c r="H19" s="3">
        <v>21300</v>
      </c>
      <c r="I19" s="9">
        <f t="shared" si="2"/>
        <v>0.10362694300518134</v>
      </c>
      <c r="J19" s="5">
        <v>471</v>
      </c>
      <c r="K19" s="36">
        <f t="shared" ref="K19:K58" si="4">(J19-J7)/J7</f>
        <v>5.9264705882352944</v>
      </c>
      <c r="L19" s="5"/>
      <c r="M19" s="36"/>
      <c r="N19" s="5">
        <v>7328</v>
      </c>
      <c r="O19" s="36">
        <f t="shared" si="3"/>
        <v>0.13894933167547405</v>
      </c>
    </row>
    <row r="20" spans="1:15" s="152" customFormat="1" ht="13.5" hidden="1" customHeight="1">
      <c r="A20" s="461"/>
      <c r="B20" s="15" t="s">
        <v>21</v>
      </c>
      <c r="C20" s="3">
        <v>707058</v>
      </c>
      <c r="D20" s="9">
        <f t="shared" si="0"/>
        <v>0.20323877820869971</v>
      </c>
      <c r="E20" s="179"/>
      <c r="F20" s="5">
        <v>8700</v>
      </c>
      <c r="G20" s="36">
        <f t="shared" si="1"/>
        <v>5.1486584481508342E-2</v>
      </c>
      <c r="H20" s="3">
        <v>19900</v>
      </c>
      <c r="I20" s="9">
        <f t="shared" si="2"/>
        <v>0.30921052631578949</v>
      </c>
      <c r="J20" s="5">
        <v>18</v>
      </c>
      <c r="K20" s="36">
        <f t="shared" si="4"/>
        <v>-0.6785714285714286</v>
      </c>
      <c r="L20" s="5"/>
      <c r="M20" s="36"/>
      <c r="N20" s="5">
        <v>4641</v>
      </c>
      <c r="O20" s="36">
        <f t="shared" si="3"/>
        <v>9.7682119205298013E-2</v>
      </c>
    </row>
    <row r="21" spans="1:15" s="152" customFormat="1" ht="13.5" hidden="1" customHeight="1">
      <c r="A21" s="461"/>
      <c r="B21" s="15" t="s">
        <v>22</v>
      </c>
      <c r="C21" s="3">
        <v>762096</v>
      </c>
      <c r="D21" s="9">
        <f t="shared" si="0"/>
        <v>0.18630226972368244</v>
      </c>
      <c r="E21" s="179"/>
      <c r="F21" s="5">
        <v>7608</v>
      </c>
      <c r="G21" s="36">
        <f t="shared" si="1"/>
        <v>7.5031793132683336E-2</v>
      </c>
      <c r="H21" s="3">
        <v>19600</v>
      </c>
      <c r="I21" s="9">
        <f t="shared" si="2"/>
        <v>0.39007092198581561</v>
      </c>
      <c r="J21" s="5">
        <v>25</v>
      </c>
      <c r="K21" s="36">
        <f t="shared" si="4"/>
        <v>-0.647887323943662</v>
      </c>
      <c r="L21" s="5"/>
      <c r="M21" s="36"/>
      <c r="N21" s="5">
        <v>4657</v>
      </c>
      <c r="O21" s="36">
        <f t="shared" si="3"/>
        <v>-3.5218562253987985E-2</v>
      </c>
    </row>
    <row r="22" spans="1:15" s="152" customFormat="1" ht="13.5" hidden="1" customHeight="1">
      <c r="A22" s="461"/>
      <c r="B22" s="15" t="s">
        <v>23</v>
      </c>
      <c r="C22" s="3">
        <v>802497</v>
      </c>
      <c r="D22" s="9">
        <f t="shared" si="0"/>
        <v>0.17982166616435236</v>
      </c>
      <c r="E22" s="179"/>
      <c r="F22" s="5">
        <v>6935</v>
      </c>
      <c r="G22" s="36">
        <f t="shared" si="1"/>
        <v>3.569295101553166E-2</v>
      </c>
      <c r="H22" s="3">
        <v>18100</v>
      </c>
      <c r="I22" s="9">
        <f t="shared" si="2"/>
        <v>0.12422360248447205</v>
      </c>
      <c r="J22" s="5">
        <v>19</v>
      </c>
      <c r="K22" s="36">
        <f t="shared" si="4"/>
        <v>-0.98033126293995865</v>
      </c>
      <c r="L22" s="5"/>
      <c r="M22" s="36"/>
      <c r="N22" s="5">
        <v>4337</v>
      </c>
      <c r="O22" s="36">
        <f t="shared" si="3"/>
        <v>1.0013972985561248E-2</v>
      </c>
    </row>
    <row r="23" spans="1:15" s="152" customFormat="1" ht="13.5" hidden="1" customHeight="1">
      <c r="A23" s="461"/>
      <c r="B23" s="15" t="s">
        <v>24</v>
      </c>
      <c r="C23" s="3">
        <v>865693</v>
      </c>
      <c r="D23" s="9">
        <f t="shared" si="0"/>
        <v>0.21541712296071661</v>
      </c>
      <c r="E23" s="179"/>
      <c r="F23" s="5">
        <v>6840</v>
      </c>
      <c r="G23" s="36">
        <f t="shared" si="1"/>
        <v>7.1428571428571425E-2</v>
      </c>
      <c r="H23" s="3">
        <v>18000</v>
      </c>
      <c r="I23" s="9">
        <f t="shared" si="2"/>
        <v>0.26760563380281688</v>
      </c>
      <c r="J23" s="5">
        <v>31</v>
      </c>
      <c r="K23" s="36">
        <f t="shared" si="4"/>
        <v>-0.97433774834437081</v>
      </c>
      <c r="L23" s="5"/>
      <c r="M23" s="36"/>
      <c r="N23" s="5">
        <v>5015</v>
      </c>
      <c r="O23" s="36">
        <f t="shared" si="3"/>
        <v>-0.15954415954415954</v>
      </c>
    </row>
    <row r="24" spans="1:15" s="152" customFormat="1" ht="13.5" hidden="1" customHeight="1">
      <c r="A24" s="461"/>
      <c r="B24" s="15" t="s">
        <v>25</v>
      </c>
      <c r="C24" s="3">
        <v>1020757</v>
      </c>
      <c r="D24" s="9">
        <f t="shared" si="0"/>
        <v>0.13767088630167826</v>
      </c>
      <c r="E24" s="179"/>
      <c r="F24" s="5">
        <v>9696</v>
      </c>
      <c r="G24" s="36">
        <f t="shared" si="1"/>
        <v>-5.1272015655577298E-2</v>
      </c>
      <c r="H24" s="3">
        <v>22600</v>
      </c>
      <c r="I24" s="9">
        <f t="shared" si="2"/>
        <v>0.135678391959799</v>
      </c>
      <c r="J24" s="5">
        <v>27</v>
      </c>
      <c r="K24" s="36">
        <f t="shared" si="4"/>
        <v>-0.84302325581395354</v>
      </c>
      <c r="L24" s="5"/>
      <c r="M24" s="36"/>
      <c r="N24" s="5">
        <v>6661</v>
      </c>
      <c r="O24" s="36">
        <f t="shared" si="3"/>
        <v>-7.588790233074362E-2</v>
      </c>
    </row>
    <row r="25" spans="1:15" s="152" customFormat="1" ht="13.5" hidden="1" customHeight="1">
      <c r="A25" s="461"/>
      <c r="B25" s="15" t="s">
        <v>26</v>
      </c>
      <c r="C25" s="3">
        <v>1070289</v>
      </c>
      <c r="D25" s="9">
        <f t="shared" si="0"/>
        <v>0.15013975260404075</v>
      </c>
      <c r="E25" s="179"/>
      <c r="F25" s="5">
        <v>7875</v>
      </c>
      <c r="G25" s="36">
        <f t="shared" si="1"/>
        <v>0.10139860139860139</v>
      </c>
      <c r="H25" s="3">
        <v>18100</v>
      </c>
      <c r="I25" s="9">
        <f t="shared" si="2"/>
        <v>0.21476510067114093</v>
      </c>
      <c r="J25" s="5">
        <v>33</v>
      </c>
      <c r="K25" s="36">
        <f t="shared" si="4"/>
        <v>-0.13157894736842105</v>
      </c>
      <c r="L25" s="5"/>
      <c r="M25" s="36"/>
      <c r="N25" s="5">
        <v>7032</v>
      </c>
      <c r="O25" s="36">
        <f t="shared" si="3"/>
        <v>-0.17561547479484174</v>
      </c>
    </row>
    <row r="26" spans="1:15" s="152" customFormat="1" ht="13.5" hidden="1" customHeight="1">
      <c r="A26" s="461"/>
      <c r="B26" s="15" t="s">
        <v>27</v>
      </c>
      <c r="C26" s="3">
        <v>785549</v>
      </c>
      <c r="D26" s="9">
        <f t="shared" si="0"/>
        <v>0.15141943351645451</v>
      </c>
      <c r="E26" s="179"/>
      <c r="F26" s="5">
        <v>6402</v>
      </c>
      <c r="G26" s="36">
        <f t="shared" si="1"/>
        <v>-6.6763848396501457E-2</v>
      </c>
      <c r="H26" s="3">
        <v>15000</v>
      </c>
      <c r="I26" s="9">
        <f t="shared" si="2"/>
        <v>8.6956521739130432E-2</v>
      </c>
      <c r="J26" s="5">
        <v>6</v>
      </c>
      <c r="K26" s="36">
        <f t="shared" si="4"/>
        <v>-0.66666666666666663</v>
      </c>
      <c r="L26" s="5"/>
      <c r="M26" s="36"/>
      <c r="N26" s="5">
        <v>3453</v>
      </c>
      <c r="O26" s="36">
        <f t="shared" si="3"/>
        <v>-0.23402839396628217</v>
      </c>
    </row>
    <row r="27" spans="1:15" s="152" customFormat="1" ht="13.5" hidden="1" customHeight="1">
      <c r="A27" s="461"/>
      <c r="B27" s="15" t="s">
        <v>28</v>
      </c>
      <c r="C27" s="3">
        <v>848088</v>
      </c>
      <c r="D27" s="9">
        <f t="shared" si="0"/>
        <v>0.11953195747276044</v>
      </c>
      <c r="E27" s="179"/>
      <c r="F27" s="5">
        <v>9039</v>
      </c>
      <c r="G27" s="36">
        <f t="shared" si="1"/>
        <v>-1.2778505897771953E-2</v>
      </c>
      <c r="H27" s="3">
        <v>20300</v>
      </c>
      <c r="I27" s="9">
        <f t="shared" si="2"/>
        <v>0.1404494382022472</v>
      </c>
      <c r="J27" s="5">
        <v>29</v>
      </c>
      <c r="K27" s="36">
        <f t="shared" si="4"/>
        <v>-0.96401985111662536</v>
      </c>
      <c r="L27" s="5"/>
      <c r="M27" s="36"/>
      <c r="N27" s="5">
        <v>5369</v>
      </c>
      <c r="O27" s="36">
        <f t="shared" si="3"/>
        <v>0.70120405576679345</v>
      </c>
    </row>
    <row r="28" spans="1:15" s="152" customFormat="1" ht="13.5" hidden="1" customHeight="1">
      <c r="A28" s="461"/>
      <c r="B28" s="15" t="s">
        <v>29</v>
      </c>
      <c r="C28" s="3">
        <v>784031</v>
      </c>
      <c r="D28" s="9">
        <f t="shared" si="0"/>
        <v>5.1139113565459644E-2</v>
      </c>
      <c r="E28" s="179"/>
      <c r="F28" s="5">
        <v>10327</v>
      </c>
      <c r="G28" s="36">
        <f t="shared" si="1"/>
        <v>-0.14476190476190476</v>
      </c>
      <c r="H28" s="3">
        <v>22400</v>
      </c>
      <c r="I28" s="9">
        <f t="shared" si="2"/>
        <v>5.6603773584905662E-2</v>
      </c>
      <c r="J28" s="5">
        <v>22</v>
      </c>
      <c r="K28" s="36">
        <f t="shared" si="4"/>
        <v>-0.98108340498710234</v>
      </c>
      <c r="L28" s="5"/>
      <c r="M28" s="36"/>
      <c r="N28" s="5">
        <v>6503</v>
      </c>
      <c r="O28" s="36">
        <f t="shared" si="3"/>
        <v>0.37687910226550919</v>
      </c>
    </row>
    <row r="29" spans="1:15" s="152" customFormat="1" ht="13.5" hidden="1" customHeight="1">
      <c r="A29" s="462"/>
      <c r="B29" s="41" t="s">
        <v>30</v>
      </c>
      <c r="C29" s="18">
        <v>790681</v>
      </c>
      <c r="D29" s="19">
        <f t="shared" si="0"/>
        <v>8.9547014800943098E-2</v>
      </c>
      <c r="E29" s="179"/>
      <c r="F29" s="5">
        <v>10725</v>
      </c>
      <c r="G29" s="36">
        <f t="shared" si="1"/>
        <v>2.1428571428571429E-2</v>
      </c>
      <c r="H29" s="3">
        <v>21900</v>
      </c>
      <c r="I29" s="9">
        <f t="shared" si="2"/>
        <v>0.12886597938144329</v>
      </c>
      <c r="J29" s="5">
        <v>196</v>
      </c>
      <c r="K29" s="36">
        <f t="shared" si="4"/>
        <v>-0.80989330746847721</v>
      </c>
      <c r="L29" s="5"/>
      <c r="M29" s="36"/>
      <c r="N29" s="5">
        <v>7402</v>
      </c>
      <c r="O29" s="36">
        <f t="shared" si="3"/>
        <v>0.14017252002464572</v>
      </c>
    </row>
    <row r="30" spans="1:15" s="152" customFormat="1" ht="13.5" hidden="1" customHeight="1">
      <c r="A30" s="457" t="s">
        <v>172</v>
      </c>
      <c r="B30" s="15" t="s">
        <v>170</v>
      </c>
      <c r="C30" s="3">
        <v>985287</v>
      </c>
      <c r="D30" s="9">
        <f t="shared" si="0"/>
        <v>9.7927805252026393E-2</v>
      </c>
      <c r="E30" s="179"/>
      <c r="F30" s="25">
        <v>13052</v>
      </c>
      <c r="G30" s="26">
        <f t="shared" si="1"/>
        <v>-0.21863026819923373</v>
      </c>
      <c r="H30" s="23">
        <v>28000</v>
      </c>
      <c r="I30" s="24">
        <f t="shared" si="2"/>
        <v>-0.15915915915915915</v>
      </c>
      <c r="J30" s="25">
        <v>920</v>
      </c>
      <c r="K30" s="26">
        <f t="shared" si="4"/>
        <v>-0.28792569659442724</v>
      </c>
      <c r="L30" s="25"/>
      <c r="M30" s="26"/>
      <c r="N30" s="25">
        <v>6902</v>
      </c>
      <c r="O30" s="26">
        <f t="shared" si="3"/>
        <v>-8.631188774159386E-2</v>
      </c>
    </row>
    <row r="31" spans="1:15" s="152" customFormat="1" ht="13.5" hidden="1" customHeight="1">
      <c r="A31" s="461"/>
      <c r="B31" s="15" t="s">
        <v>171</v>
      </c>
      <c r="C31" s="3">
        <v>944596</v>
      </c>
      <c r="D31" s="9">
        <f t="shared" si="0"/>
        <v>0.2662178718977799</v>
      </c>
      <c r="E31" s="179"/>
      <c r="F31" s="5">
        <v>9746</v>
      </c>
      <c r="G31" s="36">
        <f t="shared" si="1"/>
        <v>-0.12623274161735701</v>
      </c>
      <c r="H31" s="3">
        <v>22000</v>
      </c>
      <c r="I31" s="9">
        <f t="shared" si="2"/>
        <v>3.2863849765258218E-2</v>
      </c>
      <c r="J31" s="5">
        <v>1207</v>
      </c>
      <c r="K31" s="36">
        <f t="shared" si="4"/>
        <v>1.5626326963906583</v>
      </c>
      <c r="L31" s="5"/>
      <c r="M31" s="36"/>
      <c r="N31" s="5">
        <v>6778</v>
      </c>
      <c r="O31" s="36">
        <f t="shared" si="3"/>
        <v>-7.5054585152838429E-2</v>
      </c>
    </row>
    <row r="32" spans="1:15" s="152" customFormat="1" ht="13.5" hidden="1" customHeight="1">
      <c r="A32" s="461"/>
      <c r="B32" s="15" t="s">
        <v>21</v>
      </c>
      <c r="C32" s="3">
        <v>823918</v>
      </c>
      <c r="D32" s="9">
        <f t="shared" si="0"/>
        <v>0.16527639882442458</v>
      </c>
      <c r="E32" s="179"/>
      <c r="F32" s="5">
        <v>9177</v>
      </c>
      <c r="G32" s="36">
        <f t="shared" si="1"/>
        <v>5.4827586206896553E-2</v>
      </c>
      <c r="H32" s="3">
        <v>19000</v>
      </c>
      <c r="I32" s="9">
        <f t="shared" si="2"/>
        <v>-4.5226130653266333E-2</v>
      </c>
      <c r="J32" s="5">
        <v>240</v>
      </c>
      <c r="K32" s="36">
        <f t="shared" si="4"/>
        <v>12.333333333333334</v>
      </c>
      <c r="L32" s="5"/>
      <c r="M32" s="36"/>
      <c r="N32" s="5">
        <v>4745</v>
      </c>
      <c r="O32" s="36">
        <f t="shared" si="3"/>
        <v>2.2408963585434174E-2</v>
      </c>
    </row>
    <row r="33" spans="1:15" s="152" customFormat="1" ht="13.5" hidden="1" customHeight="1">
      <c r="A33" s="461"/>
      <c r="B33" s="15" t="s">
        <v>22</v>
      </c>
      <c r="C33" s="3">
        <v>855083</v>
      </c>
      <c r="D33" s="9">
        <f t="shared" si="0"/>
        <v>0.12201481178224266</v>
      </c>
      <c r="E33" s="179"/>
      <c r="F33" s="5">
        <v>8030</v>
      </c>
      <c r="G33" s="36">
        <f t="shared" si="1"/>
        <v>5.5467928496319666E-2</v>
      </c>
      <c r="H33" s="3">
        <v>18700</v>
      </c>
      <c r="I33" s="9">
        <f t="shared" si="2"/>
        <v>-4.5918367346938778E-2</v>
      </c>
      <c r="J33" s="5">
        <v>729</v>
      </c>
      <c r="K33" s="36">
        <f t="shared" si="4"/>
        <v>28.16</v>
      </c>
      <c r="L33" s="5"/>
      <c r="M33" s="36"/>
      <c r="N33" s="5">
        <v>5854</v>
      </c>
      <c r="O33" s="36">
        <f t="shared" si="3"/>
        <v>0.25703242430749407</v>
      </c>
    </row>
    <row r="34" spans="1:15" s="152" customFormat="1" ht="13.5" hidden="1" customHeight="1">
      <c r="A34" s="461"/>
      <c r="B34" s="15" t="s">
        <v>23</v>
      </c>
      <c r="C34" s="3">
        <v>906482</v>
      </c>
      <c r="D34" s="9">
        <f t="shared" si="0"/>
        <v>0.12957680838682262</v>
      </c>
      <c r="E34" s="179"/>
      <c r="F34" s="5">
        <v>6307</v>
      </c>
      <c r="G34" s="36">
        <f t="shared" si="1"/>
        <v>-9.0555155010814709E-2</v>
      </c>
      <c r="H34" s="3">
        <v>17100</v>
      </c>
      <c r="I34" s="9">
        <f t="shared" si="2"/>
        <v>-5.5248618784530384E-2</v>
      </c>
      <c r="J34" s="5">
        <v>1173</v>
      </c>
      <c r="K34" s="36">
        <f t="shared" si="4"/>
        <v>60.736842105263158</v>
      </c>
      <c r="L34" s="5"/>
      <c r="M34" s="36"/>
      <c r="N34" s="5">
        <v>7165</v>
      </c>
      <c r="O34" s="36">
        <f t="shared" si="3"/>
        <v>0.65206363845976478</v>
      </c>
    </row>
    <row r="35" spans="1:15" s="152" customFormat="1" ht="13.5" hidden="1" customHeight="1">
      <c r="A35" s="461"/>
      <c r="B35" s="15" t="s">
        <v>24</v>
      </c>
      <c r="C35" s="3">
        <v>915942</v>
      </c>
      <c r="D35" s="9">
        <f t="shared" si="0"/>
        <v>5.8044826514711337E-2</v>
      </c>
      <c r="E35" s="179"/>
      <c r="F35" s="5">
        <v>7524</v>
      </c>
      <c r="G35" s="36">
        <f t="shared" si="1"/>
        <v>0.1</v>
      </c>
      <c r="H35" s="3">
        <v>17900</v>
      </c>
      <c r="I35" s="9">
        <f t="shared" si="2"/>
        <v>-5.5555555555555558E-3</v>
      </c>
      <c r="J35" s="5">
        <v>1334</v>
      </c>
      <c r="K35" s="36">
        <f t="shared" si="4"/>
        <v>42.032258064516128</v>
      </c>
      <c r="L35" s="5"/>
      <c r="M35" s="36"/>
      <c r="N35" s="5">
        <v>7440</v>
      </c>
      <c r="O35" s="36">
        <f t="shared" si="3"/>
        <v>0.48354935194416748</v>
      </c>
    </row>
    <row r="36" spans="1:15" s="152" customFormat="1" ht="13.5" hidden="1" customHeight="1">
      <c r="A36" s="461"/>
      <c r="B36" s="15" t="s">
        <v>25</v>
      </c>
      <c r="C36" s="3">
        <v>1098740</v>
      </c>
      <c r="D36" s="9">
        <f t="shared" si="0"/>
        <v>7.6397222845398072E-2</v>
      </c>
      <c r="E36" s="179"/>
      <c r="F36" s="5">
        <v>10008</v>
      </c>
      <c r="G36" s="36">
        <f t="shared" si="1"/>
        <v>3.2178217821782179E-2</v>
      </c>
      <c r="H36" s="3">
        <v>23300</v>
      </c>
      <c r="I36" s="9">
        <f t="shared" si="2"/>
        <v>3.0973451327433628E-2</v>
      </c>
      <c r="J36" s="5">
        <v>1336</v>
      </c>
      <c r="K36" s="36">
        <f t="shared" si="4"/>
        <v>48.481481481481481</v>
      </c>
      <c r="L36" s="5"/>
      <c r="M36" s="36"/>
      <c r="N36" s="5">
        <v>8146</v>
      </c>
      <c r="O36" s="36">
        <f t="shared" si="3"/>
        <v>0.22293949857378773</v>
      </c>
    </row>
    <row r="37" spans="1:15" s="152" customFormat="1" ht="13.5" hidden="1" customHeight="1">
      <c r="A37" s="461"/>
      <c r="B37" s="15" t="s">
        <v>26</v>
      </c>
      <c r="C37" s="3">
        <v>1159874</v>
      </c>
      <c r="D37" s="9">
        <f t="shared" si="0"/>
        <v>8.3701691786050303E-2</v>
      </c>
      <c r="E37" s="179"/>
      <c r="F37" s="5">
        <v>7056</v>
      </c>
      <c r="G37" s="36">
        <f t="shared" si="1"/>
        <v>-0.104</v>
      </c>
      <c r="H37" s="3">
        <v>19100</v>
      </c>
      <c r="I37" s="9">
        <f t="shared" si="2"/>
        <v>5.5248618784530384E-2</v>
      </c>
      <c r="J37" s="5">
        <v>1069</v>
      </c>
      <c r="K37" s="36">
        <f t="shared" si="4"/>
        <v>31.393939393939394</v>
      </c>
      <c r="L37" s="5"/>
      <c r="M37" s="36"/>
      <c r="N37" s="5">
        <v>8053</v>
      </c>
      <c r="O37" s="36">
        <f t="shared" si="3"/>
        <v>0.14519340159271901</v>
      </c>
    </row>
    <row r="38" spans="1:15" s="152" customFormat="1" ht="13.5" hidden="1" customHeight="1">
      <c r="A38" s="461"/>
      <c r="B38" s="15" t="s">
        <v>27</v>
      </c>
      <c r="C38" s="3">
        <v>931946</v>
      </c>
      <c r="D38" s="9">
        <f t="shared" si="0"/>
        <v>0.18636265847197311</v>
      </c>
      <c r="E38" s="179"/>
      <c r="F38" s="5">
        <v>8253</v>
      </c>
      <c r="G38" s="36">
        <f t="shared" si="1"/>
        <v>0.28912839737582008</v>
      </c>
      <c r="H38" s="3">
        <v>19200</v>
      </c>
      <c r="I38" s="9">
        <f t="shared" si="2"/>
        <v>0.28000000000000003</v>
      </c>
      <c r="J38" s="5">
        <v>181</v>
      </c>
      <c r="K38" s="36">
        <f t="shared" si="4"/>
        <v>29.166666666666668</v>
      </c>
      <c r="L38" s="5"/>
      <c r="M38" s="36"/>
      <c r="N38" s="5">
        <v>6407</v>
      </c>
      <c r="O38" s="36">
        <f t="shared" si="3"/>
        <v>0.8554879814653924</v>
      </c>
    </row>
    <row r="39" spans="1:15" s="152" customFormat="1" ht="13.5" hidden="1" customHeight="1">
      <c r="A39" s="461"/>
      <c r="B39" s="15" t="s">
        <v>28</v>
      </c>
      <c r="C39" s="3">
        <v>984649</v>
      </c>
      <c r="D39" s="9">
        <f t="shared" si="0"/>
        <v>0.16102220524285216</v>
      </c>
      <c r="E39" s="179"/>
      <c r="F39" s="5">
        <v>10186</v>
      </c>
      <c r="G39" s="36">
        <f t="shared" si="1"/>
        <v>0.12689456798318399</v>
      </c>
      <c r="H39" s="3">
        <v>23400</v>
      </c>
      <c r="I39" s="9">
        <f t="shared" si="2"/>
        <v>0.15270935960591134</v>
      </c>
      <c r="J39" s="5">
        <v>1145</v>
      </c>
      <c r="K39" s="36">
        <f t="shared" si="4"/>
        <v>38.482758620689658</v>
      </c>
      <c r="L39" s="5"/>
      <c r="M39" s="36"/>
      <c r="N39" s="5">
        <v>5818</v>
      </c>
      <c r="O39" s="36">
        <f t="shared" si="3"/>
        <v>8.3628236170609049E-2</v>
      </c>
    </row>
    <row r="40" spans="1:15" s="152" customFormat="1" ht="13.5" hidden="1" customHeight="1">
      <c r="A40" s="461"/>
      <c r="B40" s="15" t="s">
        <v>29</v>
      </c>
      <c r="C40" s="3">
        <v>987488</v>
      </c>
      <c r="D40" s="9">
        <f t="shared" si="0"/>
        <v>0.25950121870181153</v>
      </c>
      <c r="E40" s="179"/>
      <c r="F40" s="5">
        <v>10582</v>
      </c>
      <c r="G40" s="36">
        <f t="shared" si="1"/>
        <v>2.4692553500532583E-2</v>
      </c>
      <c r="H40" s="3">
        <v>24600</v>
      </c>
      <c r="I40" s="9">
        <f t="shared" si="2"/>
        <v>9.8214285714285712E-2</v>
      </c>
      <c r="J40" s="5">
        <v>1064</v>
      </c>
      <c r="K40" s="36">
        <f t="shared" si="4"/>
        <v>47.363636363636367</v>
      </c>
      <c r="L40" s="5"/>
      <c r="M40" s="36"/>
      <c r="N40" s="5">
        <v>7481</v>
      </c>
      <c r="O40" s="36">
        <f t="shared" si="3"/>
        <v>0.15039212671074889</v>
      </c>
    </row>
    <row r="41" spans="1:15" s="152" customFormat="1" ht="13.5" hidden="1" customHeight="1">
      <c r="A41" s="462"/>
      <c r="B41" s="15" t="s">
        <v>30</v>
      </c>
      <c r="C41" s="52">
        <v>1015874</v>
      </c>
      <c r="D41" s="9">
        <f t="shared" si="0"/>
        <v>0.28480891788218005</v>
      </c>
      <c r="E41" s="179"/>
      <c r="F41" s="68">
        <v>11440</v>
      </c>
      <c r="G41" s="36">
        <f t="shared" si="1"/>
        <v>6.6666666666666666E-2</v>
      </c>
      <c r="H41" s="3">
        <v>28600</v>
      </c>
      <c r="I41" s="9">
        <f t="shared" si="2"/>
        <v>0.30593607305936071</v>
      </c>
      <c r="J41" s="68">
        <v>1358</v>
      </c>
      <c r="K41" s="36">
        <f t="shared" si="4"/>
        <v>5.9285714285714288</v>
      </c>
      <c r="L41" s="68"/>
      <c r="M41" s="36"/>
      <c r="N41" s="5">
        <v>8102</v>
      </c>
      <c r="O41" s="36">
        <f t="shared" si="3"/>
        <v>9.4569035395838968E-2</v>
      </c>
    </row>
    <row r="42" spans="1:15" s="152" customFormat="1" ht="13.5" hidden="1" customHeight="1">
      <c r="A42" s="457" t="s">
        <v>173</v>
      </c>
      <c r="B42" s="2" t="s">
        <v>170</v>
      </c>
      <c r="C42" s="23">
        <v>1281530</v>
      </c>
      <c r="D42" s="24">
        <f t="shared" si="0"/>
        <v>0.30066670929384026</v>
      </c>
      <c r="E42" s="179"/>
      <c r="F42" s="23">
        <v>14028</v>
      </c>
      <c r="G42" s="24">
        <f t="shared" si="1"/>
        <v>7.4777811829604662E-2</v>
      </c>
      <c r="H42" s="23">
        <v>33200</v>
      </c>
      <c r="I42" s="24">
        <f t="shared" si="2"/>
        <v>0.18571428571428572</v>
      </c>
      <c r="J42" s="23">
        <v>1300</v>
      </c>
      <c r="K42" s="24">
        <f t="shared" si="4"/>
        <v>0.41304347826086957</v>
      </c>
      <c r="L42" s="23"/>
      <c r="M42" s="24"/>
      <c r="N42" s="23">
        <v>9953</v>
      </c>
      <c r="O42" s="24">
        <f t="shared" si="3"/>
        <v>0.4420457838307737</v>
      </c>
    </row>
    <row r="43" spans="1:15" s="152" customFormat="1" ht="13.5" hidden="1" customHeight="1">
      <c r="A43" s="461"/>
      <c r="B43" s="15" t="s">
        <v>44</v>
      </c>
      <c r="C43" s="3">
        <v>982591</v>
      </c>
      <c r="D43" s="9">
        <f t="shared" si="0"/>
        <v>4.0223545304024153E-2</v>
      </c>
      <c r="E43" s="179"/>
      <c r="F43" s="3">
        <v>8510</v>
      </c>
      <c r="G43" s="9">
        <f t="shared" si="1"/>
        <v>-0.12682126000410424</v>
      </c>
      <c r="H43" s="3">
        <v>19800</v>
      </c>
      <c r="I43" s="9">
        <f t="shared" si="2"/>
        <v>-0.1</v>
      </c>
      <c r="J43" s="3">
        <v>1013</v>
      </c>
      <c r="K43" s="9">
        <f t="shared" si="4"/>
        <v>-0.16072908036454017</v>
      </c>
      <c r="L43" s="3"/>
      <c r="M43" s="9"/>
      <c r="N43" s="3">
        <v>7721</v>
      </c>
      <c r="O43" s="9">
        <f t="shared" si="3"/>
        <v>0.13912658601357333</v>
      </c>
    </row>
    <row r="44" spans="1:15" s="152" customFormat="1" ht="13.5" hidden="1" customHeight="1">
      <c r="A44" s="461"/>
      <c r="B44" s="15" t="s">
        <v>174</v>
      </c>
      <c r="C44" s="3">
        <v>1046055</v>
      </c>
      <c r="D44" s="9">
        <v>0.27</v>
      </c>
      <c r="E44" s="179"/>
      <c r="F44" s="3">
        <v>9752</v>
      </c>
      <c r="G44" s="9">
        <f t="shared" si="1"/>
        <v>6.2656641604010022E-2</v>
      </c>
      <c r="H44" s="3">
        <v>22200</v>
      </c>
      <c r="I44" s="9">
        <f t="shared" si="2"/>
        <v>0.16842105263157894</v>
      </c>
      <c r="J44" s="3">
        <v>1070</v>
      </c>
      <c r="K44" s="9">
        <f t="shared" si="4"/>
        <v>3.4583333333333335</v>
      </c>
      <c r="L44" s="3"/>
      <c r="M44" s="9"/>
      <c r="N44" s="3">
        <v>6271</v>
      </c>
      <c r="O44" s="9">
        <f t="shared" si="3"/>
        <v>0.32160168598524763</v>
      </c>
    </row>
    <row r="45" spans="1:15" s="152" customFormat="1" ht="13.5" hidden="1" customHeight="1">
      <c r="A45" s="461"/>
      <c r="B45" s="15" t="s">
        <v>175</v>
      </c>
      <c r="C45" s="3">
        <v>989018</v>
      </c>
      <c r="D45" s="9">
        <v>0.157</v>
      </c>
      <c r="E45" s="179"/>
      <c r="F45" s="3">
        <v>8602</v>
      </c>
      <c r="G45" s="9">
        <f t="shared" si="1"/>
        <v>7.1232876712328766E-2</v>
      </c>
      <c r="H45" s="3">
        <v>20800</v>
      </c>
      <c r="I45" s="9">
        <f t="shared" si="2"/>
        <v>0.11229946524064172</v>
      </c>
      <c r="J45" s="3">
        <v>1196</v>
      </c>
      <c r="K45" s="9">
        <f t="shared" si="4"/>
        <v>0.64060356652949246</v>
      </c>
      <c r="L45" s="3"/>
      <c r="M45" s="9"/>
      <c r="N45" s="3">
        <v>6196</v>
      </c>
      <c r="O45" s="9">
        <f t="shared" si="3"/>
        <v>5.8421592073795693E-2</v>
      </c>
    </row>
    <row r="46" spans="1:15" s="152" customFormat="1" ht="13.5" hidden="1" customHeight="1">
      <c r="A46" s="461"/>
      <c r="B46" s="15" t="s">
        <v>176</v>
      </c>
      <c r="C46" s="3">
        <v>1107498</v>
      </c>
      <c r="D46" s="9">
        <v>0.222</v>
      </c>
      <c r="E46" s="179"/>
      <c r="F46" s="3">
        <v>6228</v>
      </c>
      <c r="G46" s="9">
        <f t="shared" si="1"/>
        <v>-1.2525765022990328E-2</v>
      </c>
      <c r="H46" s="3">
        <v>18000</v>
      </c>
      <c r="I46" s="9">
        <f t="shared" si="2"/>
        <v>5.2631578947368418E-2</v>
      </c>
      <c r="J46" s="3">
        <v>1194</v>
      </c>
      <c r="K46" s="9">
        <f t="shared" si="4"/>
        <v>1.7902813299232736E-2</v>
      </c>
      <c r="L46" s="3"/>
      <c r="M46" s="9"/>
      <c r="N46" s="3">
        <v>7565</v>
      </c>
      <c r="O46" s="9">
        <f t="shared" si="3"/>
        <v>5.5826936496859735E-2</v>
      </c>
    </row>
    <row r="47" spans="1:15" s="152" customFormat="1" ht="13.5" hidden="1" customHeight="1">
      <c r="A47" s="461"/>
      <c r="B47" s="15" t="s">
        <v>177</v>
      </c>
      <c r="C47" s="3">
        <v>1064076</v>
      </c>
      <c r="D47" s="9">
        <v>0.16200000000000001</v>
      </c>
      <c r="E47" s="179"/>
      <c r="F47" s="3">
        <v>7334</v>
      </c>
      <c r="G47" s="9">
        <f t="shared" si="1"/>
        <v>-2.5252525252525252E-2</v>
      </c>
      <c r="H47" s="3">
        <v>18500</v>
      </c>
      <c r="I47" s="9">
        <f t="shared" si="2"/>
        <v>3.3519553072625698E-2</v>
      </c>
      <c r="J47" s="3">
        <v>1292</v>
      </c>
      <c r="K47" s="9">
        <f t="shared" si="4"/>
        <v>-3.1484257871064465E-2</v>
      </c>
      <c r="L47" s="3"/>
      <c r="M47" s="9"/>
      <c r="N47" s="3">
        <v>9139</v>
      </c>
      <c r="O47" s="9">
        <f t="shared" si="3"/>
        <v>0.22836021505376344</v>
      </c>
    </row>
    <row r="48" spans="1:15" s="152" customFormat="1" ht="13.5" hidden="1" customHeight="1">
      <c r="A48" s="461"/>
      <c r="B48" s="15" t="s">
        <v>178</v>
      </c>
      <c r="C48" s="3">
        <v>1297398</v>
      </c>
      <c r="D48" s="9">
        <v>0.18099999999999999</v>
      </c>
      <c r="E48" s="179"/>
      <c r="F48" s="3">
        <v>8904</v>
      </c>
      <c r="G48" s="9">
        <f t="shared" si="1"/>
        <v>-0.11031175059952038</v>
      </c>
      <c r="H48" s="3">
        <v>22800</v>
      </c>
      <c r="I48" s="9">
        <f t="shared" si="2"/>
        <v>-2.1459227467811159E-2</v>
      </c>
      <c r="J48" s="3">
        <v>1339</v>
      </c>
      <c r="K48" s="9">
        <f t="shared" si="4"/>
        <v>2.2455089820359281E-3</v>
      </c>
      <c r="L48" s="3"/>
      <c r="M48" s="9"/>
      <c r="N48" s="3">
        <v>10901</v>
      </c>
      <c r="O48" s="9">
        <f t="shared" si="3"/>
        <v>0.33820279891971522</v>
      </c>
    </row>
    <row r="49" spans="1:15" s="152" customFormat="1" ht="13.5" hidden="1" customHeight="1">
      <c r="A49" s="461"/>
      <c r="B49" s="15" t="s">
        <v>179</v>
      </c>
      <c r="C49" s="3">
        <v>1308664</v>
      </c>
      <c r="D49" s="9">
        <v>0.128</v>
      </c>
      <c r="E49" s="179"/>
      <c r="F49" s="3">
        <v>5742</v>
      </c>
      <c r="G49" s="9">
        <f t="shared" si="1"/>
        <v>-0.18622448979591838</v>
      </c>
      <c r="H49" s="3">
        <v>18800</v>
      </c>
      <c r="I49" s="9">
        <f t="shared" si="2"/>
        <v>-1.5706806282722512E-2</v>
      </c>
      <c r="J49" s="3">
        <v>1333</v>
      </c>
      <c r="K49" s="9">
        <f t="shared" si="4"/>
        <v>0.2469597754911132</v>
      </c>
      <c r="L49" s="3"/>
      <c r="M49" s="9"/>
      <c r="N49" s="3">
        <v>10651</v>
      </c>
      <c r="O49" s="9">
        <f t="shared" si="3"/>
        <v>0.3226126909226375</v>
      </c>
    </row>
    <row r="50" spans="1:15" s="152" customFormat="1" ht="13.5" hidden="1" customHeight="1">
      <c r="A50" s="461"/>
      <c r="B50" s="15" t="s">
        <v>180</v>
      </c>
      <c r="C50" s="3">
        <v>1015650</v>
      </c>
      <c r="D50" s="9">
        <v>0.09</v>
      </c>
      <c r="E50" s="179"/>
      <c r="F50" s="5">
        <v>6601</v>
      </c>
      <c r="G50" s="36">
        <f t="shared" si="1"/>
        <v>-0.20016963528413911</v>
      </c>
      <c r="H50" s="5">
        <v>17100</v>
      </c>
      <c r="I50" s="9">
        <f t="shared" si="2"/>
        <v>-0.109375</v>
      </c>
      <c r="J50" s="5">
        <v>893</v>
      </c>
      <c r="K50" s="36">
        <f t="shared" si="4"/>
        <v>3.9337016574585637</v>
      </c>
      <c r="L50" s="5"/>
      <c r="M50" s="36"/>
      <c r="N50" s="3">
        <v>8605</v>
      </c>
      <c r="O50" s="9">
        <f t="shared" si="3"/>
        <v>0.3430622756360231</v>
      </c>
    </row>
    <row r="51" spans="1:15" s="152" customFormat="1" ht="13.5" hidden="1" customHeight="1">
      <c r="A51" s="461"/>
      <c r="B51" s="15" t="s">
        <v>181</v>
      </c>
      <c r="C51" s="5">
        <v>1078092</v>
      </c>
      <c r="D51" s="9">
        <v>9.5000000000000001E-2</v>
      </c>
      <c r="E51" s="179"/>
      <c r="F51" s="5">
        <v>7084</v>
      </c>
      <c r="G51" s="9">
        <f t="shared" si="1"/>
        <v>-0.30453563714902809</v>
      </c>
      <c r="H51" s="5">
        <v>19800</v>
      </c>
      <c r="I51" s="9">
        <f t="shared" si="2"/>
        <v>-0.15384615384615385</v>
      </c>
      <c r="J51" s="5">
        <v>1082</v>
      </c>
      <c r="K51" s="9">
        <f t="shared" si="4"/>
        <v>-5.5021834061135373E-2</v>
      </c>
      <c r="L51" s="5"/>
      <c r="M51" s="9"/>
      <c r="N51" s="5">
        <v>8074</v>
      </c>
      <c r="O51" s="9">
        <f t="shared" si="3"/>
        <v>0.38776211756617396</v>
      </c>
    </row>
    <row r="52" spans="1:15" s="152" customFormat="1" ht="13.5" hidden="1" customHeight="1">
      <c r="A52" s="461"/>
      <c r="B52" s="15" t="s">
        <v>29</v>
      </c>
      <c r="C52" s="5">
        <v>1072557</v>
      </c>
      <c r="D52" s="9">
        <v>8.5999999999999993E-2</v>
      </c>
      <c r="E52" s="179"/>
      <c r="F52" s="5">
        <v>8784</v>
      </c>
      <c r="G52" s="9">
        <f t="shared" si="1"/>
        <v>-0.16991116991116992</v>
      </c>
      <c r="H52" s="5">
        <v>21300</v>
      </c>
      <c r="I52" s="9">
        <f t="shared" si="2"/>
        <v>-0.13414634146341464</v>
      </c>
      <c r="J52" s="5">
        <v>1362</v>
      </c>
      <c r="K52" s="9">
        <f t="shared" si="4"/>
        <v>0.28007518796992481</v>
      </c>
      <c r="L52" s="5"/>
      <c r="M52" s="9"/>
      <c r="N52" s="5">
        <v>11626</v>
      </c>
      <c r="O52" s="9">
        <f t="shared" si="3"/>
        <v>0.55407031145568775</v>
      </c>
    </row>
    <row r="53" spans="1:15" s="152" customFormat="1" ht="13.5" hidden="1" customHeight="1">
      <c r="A53" s="462"/>
      <c r="B53" s="41" t="s">
        <v>182</v>
      </c>
      <c r="C53" s="5">
        <v>1081848</v>
      </c>
      <c r="D53" s="9">
        <v>6.5000000000000002E-2</v>
      </c>
      <c r="E53" s="179"/>
      <c r="F53" s="42">
        <v>7884</v>
      </c>
      <c r="G53" s="19">
        <f t="shared" si="1"/>
        <v>-0.31083916083916086</v>
      </c>
      <c r="H53" s="42">
        <v>20900</v>
      </c>
      <c r="I53" s="19">
        <f t="shared" si="2"/>
        <v>-0.26923076923076922</v>
      </c>
      <c r="J53" s="42">
        <v>1268</v>
      </c>
      <c r="K53" s="19">
        <f t="shared" si="4"/>
        <v>-6.6273932253313697E-2</v>
      </c>
      <c r="L53" s="42"/>
      <c r="M53" s="19"/>
      <c r="N53" s="42">
        <v>11617</v>
      </c>
      <c r="O53" s="19">
        <f t="shared" si="3"/>
        <v>0.43384349543322637</v>
      </c>
    </row>
    <row r="54" spans="1:15" s="152" customFormat="1" ht="13.5" hidden="1" customHeight="1">
      <c r="A54" s="457" t="s">
        <v>183</v>
      </c>
      <c r="B54" s="2" t="s">
        <v>170</v>
      </c>
      <c r="C54" s="25">
        <v>1322909</v>
      </c>
      <c r="D54" s="24">
        <v>3.2000000000000001E-2</v>
      </c>
      <c r="E54" s="179"/>
      <c r="F54" s="25">
        <v>10846</v>
      </c>
      <c r="G54" s="24">
        <f t="shared" si="1"/>
        <v>-0.22683205018534361</v>
      </c>
      <c r="H54" s="25">
        <v>27900</v>
      </c>
      <c r="I54" s="24">
        <f t="shared" si="2"/>
        <v>-0.15963855421686746</v>
      </c>
      <c r="J54" s="25">
        <v>1159</v>
      </c>
      <c r="K54" s="24">
        <f t="shared" si="4"/>
        <v>-0.10846153846153846</v>
      </c>
      <c r="L54" s="25"/>
      <c r="M54" s="24"/>
      <c r="N54" s="25">
        <v>11227</v>
      </c>
      <c r="O54" s="24">
        <f t="shared" si="3"/>
        <v>0.1280016075555109</v>
      </c>
    </row>
    <row r="55" spans="1:15" s="152" customFormat="1" ht="13.5" hidden="1" customHeight="1">
      <c r="A55" s="461"/>
      <c r="B55" s="15" t="s">
        <v>171</v>
      </c>
      <c r="C55" s="5">
        <v>1132463</v>
      </c>
      <c r="D55" s="9">
        <v>0.153</v>
      </c>
      <c r="E55" s="179"/>
      <c r="F55" s="5">
        <v>7084</v>
      </c>
      <c r="G55" s="9">
        <f t="shared" si="1"/>
        <v>-0.16756756756756758</v>
      </c>
      <c r="H55" s="5">
        <v>20500</v>
      </c>
      <c r="I55" s="9">
        <f t="shared" si="2"/>
        <v>3.5353535353535352E-2</v>
      </c>
      <c r="J55" s="5">
        <v>1268</v>
      </c>
      <c r="K55" s="9">
        <f t="shared" si="4"/>
        <v>0.25172754195459035</v>
      </c>
      <c r="L55" s="5"/>
      <c r="M55" s="9"/>
      <c r="N55" s="5">
        <v>11116</v>
      </c>
      <c r="O55" s="9">
        <f t="shared" si="3"/>
        <v>0.4397098821396192</v>
      </c>
    </row>
    <row r="56" spans="1:15" s="152" customFormat="1" ht="13.5" hidden="1" customHeight="1">
      <c r="A56" s="461"/>
      <c r="B56" s="15" t="s">
        <v>21</v>
      </c>
      <c r="C56" s="5">
        <v>983589</v>
      </c>
      <c r="D56" s="9">
        <v>-6.0299999999999999E-2</v>
      </c>
      <c r="E56" s="179"/>
      <c r="F56" s="5">
        <v>6750</v>
      </c>
      <c r="G56" s="9">
        <f t="shared" si="1"/>
        <v>-0.3078342904019688</v>
      </c>
      <c r="H56" s="5">
        <v>17000</v>
      </c>
      <c r="I56" s="9">
        <v>-0.23</v>
      </c>
      <c r="J56" s="5">
        <v>1034</v>
      </c>
      <c r="K56" s="9">
        <f t="shared" si="4"/>
        <v>-3.3644859813084113E-2</v>
      </c>
      <c r="L56" s="5"/>
      <c r="M56" s="9"/>
      <c r="N56" s="5">
        <v>7169</v>
      </c>
      <c r="O56" s="9">
        <v>0.14000000000000001</v>
      </c>
    </row>
    <row r="57" spans="1:15" s="152" customFormat="1" ht="13.5" hidden="1" customHeight="1">
      <c r="A57" s="461"/>
      <c r="B57" s="15" t="s">
        <v>22</v>
      </c>
      <c r="C57" s="5">
        <v>1026750</v>
      </c>
      <c r="D57" s="9">
        <v>3.7999999999999999E-2</v>
      </c>
      <c r="E57" s="179"/>
      <c r="F57" s="5">
        <v>6984</v>
      </c>
      <c r="G57" s="9">
        <f t="shared" si="1"/>
        <v>-0.18809579167635435</v>
      </c>
      <c r="H57" s="5">
        <v>17300</v>
      </c>
      <c r="I57" s="9">
        <v>-0.17</v>
      </c>
      <c r="J57" s="5">
        <v>1059</v>
      </c>
      <c r="K57" s="9">
        <f t="shared" si="4"/>
        <v>-0.11454849498327759</v>
      </c>
      <c r="L57" s="5"/>
      <c r="M57" s="9"/>
      <c r="N57" s="5">
        <v>8743</v>
      </c>
      <c r="O57" s="9">
        <v>0.41</v>
      </c>
    </row>
    <row r="58" spans="1:15" s="152" customFormat="1" ht="13.5" hidden="1" customHeight="1">
      <c r="A58" s="461"/>
      <c r="B58" s="15" t="s">
        <v>23</v>
      </c>
      <c r="C58" s="5">
        <v>1099977</v>
      </c>
      <c r="D58" s="9">
        <v>-7.0000000000000001E-3</v>
      </c>
      <c r="E58" s="179"/>
      <c r="F58" s="5">
        <v>6200</v>
      </c>
      <c r="G58" s="9">
        <f t="shared" si="1"/>
        <v>-4.4958253050738596E-3</v>
      </c>
      <c r="H58" s="5">
        <v>16800</v>
      </c>
      <c r="I58" s="9">
        <v>-7.0000000000000007E-2</v>
      </c>
      <c r="J58" s="5">
        <v>1085</v>
      </c>
      <c r="K58" s="9">
        <f t="shared" si="4"/>
        <v>-9.1289782244556111E-2</v>
      </c>
      <c r="L58" s="5"/>
      <c r="M58" s="9"/>
      <c r="N58" s="5">
        <v>9925</v>
      </c>
      <c r="O58" s="9">
        <v>0.31</v>
      </c>
    </row>
    <row r="59" spans="1:15" s="152" customFormat="1" ht="13.5" hidden="1" customHeight="1">
      <c r="A59" s="461"/>
      <c r="B59" s="15" t="s">
        <v>24</v>
      </c>
      <c r="C59" s="5">
        <v>1004715</v>
      </c>
      <c r="D59" s="9">
        <v>-5.6000000000000001E-2</v>
      </c>
      <c r="E59" s="179"/>
      <c r="F59" s="5">
        <v>6042</v>
      </c>
      <c r="G59" s="9">
        <f t="shared" ref="G59:G87" si="5">(F59/F47-1)</f>
        <v>-0.17616580310880825</v>
      </c>
      <c r="H59" s="5">
        <v>16000</v>
      </c>
      <c r="I59" s="9">
        <f t="shared" ref="I59:I87" si="6">(H59/H47-1)</f>
        <v>-0.13513513513513509</v>
      </c>
      <c r="J59" s="5">
        <v>1144</v>
      </c>
      <c r="K59" s="9">
        <f t="shared" ref="K59:K87" si="7">(J59/J47-1)</f>
        <v>-0.11455108359133126</v>
      </c>
      <c r="L59" s="5"/>
      <c r="M59" s="9"/>
      <c r="N59" s="5">
        <v>9616</v>
      </c>
      <c r="O59" s="9">
        <f t="shared" ref="O59:O86" si="8">(N59/N47-1)</f>
        <v>5.2193894299157551E-2</v>
      </c>
    </row>
    <row r="60" spans="1:15" s="152" customFormat="1" ht="13.5" hidden="1" customHeight="1">
      <c r="A60" s="461"/>
      <c r="B60" s="15" t="s">
        <v>25</v>
      </c>
      <c r="C60" s="5">
        <v>1135843</v>
      </c>
      <c r="D60" s="9">
        <v>-0.125</v>
      </c>
      <c r="E60" s="179"/>
      <c r="F60" s="5">
        <v>8184</v>
      </c>
      <c r="G60" s="9">
        <f t="shared" si="5"/>
        <v>-8.0862533692722338E-2</v>
      </c>
      <c r="H60" s="5">
        <v>23300</v>
      </c>
      <c r="I60" s="9">
        <f t="shared" si="6"/>
        <v>2.1929824561403466E-2</v>
      </c>
      <c r="J60" s="5">
        <v>1212</v>
      </c>
      <c r="K60" s="9">
        <f t="shared" si="7"/>
        <v>-9.4846900672143408E-2</v>
      </c>
      <c r="L60" s="5"/>
      <c r="M60" s="9"/>
      <c r="N60" s="5">
        <v>10208</v>
      </c>
      <c r="O60" s="9">
        <f t="shared" si="8"/>
        <v>-6.3572149344096829E-2</v>
      </c>
    </row>
    <row r="61" spans="1:15" s="152" customFormat="1" ht="13.5" hidden="1" customHeight="1">
      <c r="A61" s="461"/>
      <c r="B61" s="15" t="s">
        <v>26</v>
      </c>
      <c r="C61" s="5">
        <v>1163809</v>
      </c>
      <c r="D61" s="9">
        <v>-0.111</v>
      </c>
      <c r="E61" s="179"/>
      <c r="F61" s="5">
        <v>6336</v>
      </c>
      <c r="G61" s="9">
        <f t="shared" si="5"/>
        <v>0.10344827586206895</v>
      </c>
      <c r="H61" s="5">
        <v>18700</v>
      </c>
      <c r="I61" s="9">
        <f t="shared" si="6"/>
        <v>-5.3191489361702482E-3</v>
      </c>
      <c r="J61" s="5">
        <v>1348</v>
      </c>
      <c r="K61" s="9">
        <f t="shared" si="7"/>
        <v>1.1252813203300738E-2</v>
      </c>
      <c r="L61" s="5"/>
      <c r="M61" s="9"/>
      <c r="N61" s="5">
        <v>10690</v>
      </c>
      <c r="O61" s="9">
        <f t="shared" si="8"/>
        <v>3.6616280161487769E-3</v>
      </c>
    </row>
    <row r="62" spans="1:15" s="152" customFormat="1" ht="13.5" hidden="1" customHeight="1">
      <c r="A62" s="461"/>
      <c r="B62" s="15" t="s">
        <v>27</v>
      </c>
      <c r="C62" s="5">
        <v>818747</v>
      </c>
      <c r="D62" s="9">
        <v>-0.19400000000000001</v>
      </c>
      <c r="E62" s="179"/>
      <c r="F62" s="5">
        <v>4577</v>
      </c>
      <c r="G62" s="9">
        <f t="shared" si="5"/>
        <v>-0.30662020905923348</v>
      </c>
      <c r="H62" s="5">
        <v>13400</v>
      </c>
      <c r="I62" s="9">
        <f t="shared" si="6"/>
        <v>-0.216374269005848</v>
      </c>
      <c r="J62" s="5">
        <v>1281</v>
      </c>
      <c r="K62" s="9">
        <f t="shared" si="7"/>
        <v>0.43449048152295622</v>
      </c>
      <c r="L62" s="5"/>
      <c r="M62" s="9"/>
      <c r="N62" s="5">
        <v>6697</v>
      </c>
      <c r="O62" s="9">
        <f t="shared" si="8"/>
        <v>-0.22173155142359091</v>
      </c>
    </row>
    <row r="63" spans="1:15" s="152" customFormat="1" ht="13.5" hidden="1" customHeight="1">
      <c r="A63" s="461"/>
      <c r="B63" s="15" t="s">
        <v>28</v>
      </c>
      <c r="C63" s="5">
        <v>932716</v>
      </c>
      <c r="D63" s="9">
        <v>-0.13500000000000001</v>
      </c>
      <c r="E63" s="179"/>
      <c r="F63" s="5">
        <v>5880</v>
      </c>
      <c r="G63" s="9">
        <f t="shared" si="5"/>
        <v>-0.16996047430830041</v>
      </c>
      <c r="H63" s="5">
        <v>16800</v>
      </c>
      <c r="I63" s="9">
        <f t="shared" si="6"/>
        <v>-0.15151515151515149</v>
      </c>
      <c r="J63" s="5">
        <v>1196</v>
      </c>
      <c r="K63" s="9">
        <f t="shared" si="7"/>
        <v>0.10536044362292052</v>
      </c>
      <c r="L63" s="5"/>
      <c r="M63" s="9"/>
      <c r="N63" s="5">
        <v>8715</v>
      </c>
      <c r="O63" s="9">
        <f t="shared" si="8"/>
        <v>7.9390636611345045E-2</v>
      </c>
    </row>
    <row r="64" spans="1:15" s="152" customFormat="1" ht="13.5" hidden="1" customHeight="1">
      <c r="A64" s="461"/>
      <c r="B64" s="15" t="s">
        <v>29</v>
      </c>
      <c r="C64" s="5">
        <v>707012</v>
      </c>
      <c r="D64" s="9">
        <v>-0.34079999999999999</v>
      </c>
      <c r="E64" s="179"/>
      <c r="F64" s="5">
        <v>4994</v>
      </c>
      <c r="G64" s="9">
        <f t="shared" si="5"/>
        <v>-0.4314663023679417</v>
      </c>
      <c r="H64" s="5">
        <v>14600</v>
      </c>
      <c r="I64" s="9">
        <f t="shared" si="6"/>
        <v>-0.31455399061032863</v>
      </c>
      <c r="J64" s="5">
        <v>1199</v>
      </c>
      <c r="K64" s="9">
        <f t="shared" si="7"/>
        <v>-0.11967694566813514</v>
      </c>
      <c r="L64" s="5"/>
      <c r="M64" s="9"/>
      <c r="N64" s="5">
        <v>8912</v>
      </c>
      <c r="O64" s="9">
        <f t="shared" si="8"/>
        <v>-0.23344228453466365</v>
      </c>
    </row>
    <row r="65" spans="1:15" s="152" customFormat="1" ht="13.5" hidden="1" customHeight="1">
      <c r="A65" s="462"/>
      <c r="B65" s="41" t="s">
        <v>30</v>
      </c>
      <c r="C65" s="42">
        <v>667564</v>
      </c>
      <c r="D65" s="19">
        <v>-0.38290000000000002</v>
      </c>
      <c r="E65" s="179"/>
      <c r="F65" s="42">
        <v>5184</v>
      </c>
      <c r="G65" s="19">
        <f t="shared" si="5"/>
        <v>-0.34246575342465757</v>
      </c>
      <c r="H65" s="42">
        <v>16000</v>
      </c>
      <c r="I65" s="19">
        <f t="shared" si="6"/>
        <v>-0.23444976076555024</v>
      </c>
      <c r="J65" s="42">
        <v>1201</v>
      </c>
      <c r="K65" s="19">
        <f t="shared" si="7"/>
        <v>-5.2839116719242907E-2</v>
      </c>
      <c r="L65" s="42"/>
      <c r="M65" s="19"/>
      <c r="N65" s="42">
        <v>8098</v>
      </c>
      <c r="O65" s="19">
        <f t="shared" si="8"/>
        <v>-0.30291813721270555</v>
      </c>
    </row>
    <row r="66" spans="1:15" s="152" customFormat="1" ht="13.5" hidden="1" customHeight="1">
      <c r="A66" s="457" t="s">
        <v>184</v>
      </c>
      <c r="B66" s="2" t="s">
        <v>170</v>
      </c>
      <c r="C66" s="25">
        <v>812901</v>
      </c>
      <c r="D66" s="24">
        <v>-0.38600000000000001</v>
      </c>
      <c r="E66" s="179"/>
      <c r="F66" s="25">
        <v>6300</v>
      </c>
      <c r="G66" s="9">
        <f t="shared" si="5"/>
        <v>-0.41914069703116352</v>
      </c>
      <c r="H66" s="25">
        <v>18300</v>
      </c>
      <c r="I66" s="9">
        <f t="shared" si="6"/>
        <v>-0.34408602150537637</v>
      </c>
      <c r="J66" s="25">
        <v>1905</v>
      </c>
      <c r="K66" s="9">
        <f t="shared" si="7"/>
        <v>0.64365832614322693</v>
      </c>
      <c r="L66" s="25"/>
      <c r="M66" s="9"/>
      <c r="N66" s="25">
        <v>8676</v>
      </c>
      <c r="O66" s="9">
        <f t="shared" si="8"/>
        <v>-0.22722009441524893</v>
      </c>
    </row>
    <row r="67" spans="1:15" s="152" customFormat="1" ht="13.5" hidden="1" customHeight="1">
      <c r="A67" s="461"/>
      <c r="B67" s="15" t="s">
        <v>171</v>
      </c>
      <c r="C67" s="5">
        <v>753642</v>
      </c>
      <c r="D67" s="9">
        <v>-0.33500000000000002</v>
      </c>
      <c r="E67" s="179"/>
      <c r="F67" s="5">
        <v>5060</v>
      </c>
      <c r="G67" s="9">
        <f t="shared" si="5"/>
        <v>-0.2857142857142857</v>
      </c>
      <c r="H67" s="5">
        <v>16600</v>
      </c>
      <c r="I67" s="9">
        <f t="shared" si="6"/>
        <v>-0.19024390243902434</v>
      </c>
      <c r="J67" s="5">
        <v>1113</v>
      </c>
      <c r="K67" s="9">
        <f t="shared" si="7"/>
        <v>-0.12223974763406942</v>
      </c>
      <c r="L67" s="5"/>
      <c r="M67" s="9"/>
      <c r="N67" s="5">
        <v>8305</v>
      </c>
      <c r="O67" s="9">
        <f t="shared" si="8"/>
        <v>-0.2528787333573228</v>
      </c>
    </row>
    <row r="68" spans="1:15" s="152" customFormat="1" ht="13.5" hidden="1" customHeight="1">
      <c r="A68" s="461"/>
      <c r="B68" s="15" t="s">
        <v>21</v>
      </c>
      <c r="C68" s="5">
        <v>702043</v>
      </c>
      <c r="D68" s="9">
        <v>-0.28599999999999998</v>
      </c>
      <c r="E68" s="179"/>
      <c r="F68" s="5">
        <v>5472</v>
      </c>
      <c r="G68" s="9">
        <f t="shared" si="5"/>
        <v>-0.18933333333333335</v>
      </c>
      <c r="H68" s="5">
        <v>15800</v>
      </c>
      <c r="I68" s="9">
        <f t="shared" si="6"/>
        <v>-7.0588235294117618E-2</v>
      </c>
      <c r="J68" s="5">
        <v>1131</v>
      </c>
      <c r="K68" s="9">
        <f t="shared" si="7"/>
        <v>9.3810444874274701E-2</v>
      </c>
      <c r="L68" s="5"/>
      <c r="M68" s="9"/>
      <c r="N68" s="5">
        <v>5532</v>
      </c>
      <c r="O68" s="9">
        <f t="shared" si="8"/>
        <v>-0.22834426000836938</v>
      </c>
    </row>
    <row r="69" spans="1:15" s="152" customFormat="1" ht="13.5" hidden="1" customHeight="1">
      <c r="A69" s="461"/>
      <c r="B69" s="15" t="s">
        <v>22</v>
      </c>
      <c r="C69" s="5">
        <v>734681</v>
      </c>
      <c r="D69" s="9">
        <v>-0.28399999999999997</v>
      </c>
      <c r="E69" s="179"/>
      <c r="F69" s="5">
        <v>3806</v>
      </c>
      <c r="G69" s="9">
        <f t="shared" si="5"/>
        <v>-0.45504009163802983</v>
      </c>
      <c r="H69" s="5">
        <v>14400</v>
      </c>
      <c r="I69" s="9">
        <f t="shared" si="6"/>
        <v>-0.16763005780346818</v>
      </c>
      <c r="J69" s="5">
        <v>1068</v>
      </c>
      <c r="K69" s="9">
        <f t="shared" si="7"/>
        <v>8.4985835694051381E-3</v>
      </c>
      <c r="L69" s="5"/>
      <c r="M69" s="9"/>
      <c r="N69" s="5">
        <v>6576</v>
      </c>
      <c r="O69" s="9">
        <f t="shared" si="8"/>
        <v>-0.24785542719890197</v>
      </c>
    </row>
    <row r="70" spans="1:15" s="152" customFormat="1" ht="13.5" hidden="1" customHeight="1">
      <c r="A70" s="461"/>
      <c r="B70" s="15" t="s">
        <v>23</v>
      </c>
      <c r="C70" s="5">
        <v>737396</v>
      </c>
      <c r="D70" s="9">
        <v>-0.33</v>
      </c>
      <c r="E70" s="179"/>
      <c r="F70" s="5">
        <v>2826</v>
      </c>
      <c r="G70" s="9">
        <f t="shared" si="5"/>
        <v>-0.54419354838709677</v>
      </c>
      <c r="H70" s="5">
        <v>12600</v>
      </c>
      <c r="I70" s="9">
        <f t="shared" si="6"/>
        <v>-0.25</v>
      </c>
      <c r="J70" s="5">
        <v>1064</v>
      </c>
      <c r="K70" s="9">
        <f t="shared" si="7"/>
        <v>-1.9354838709677469E-2</v>
      </c>
      <c r="L70" s="5"/>
      <c r="M70" s="9"/>
      <c r="N70" s="5">
        <v>6557</v>
      </c>
      <c r="O70" s="9">
        <f t="shared" si="8"/>
        <v>-0.33934508816120912</v>
      </c>
    </row>
    <row r="71" spans="1:15" s="152" customFormat="1" ht="13.5" hidden="1" customHeight="1">
      <c r="A71" s="461"/>
      <c r="B71" s="15" t="s">
        <v>24</v>
      </c>
      <c r="C71" s="5">
        <v>731137</v>
      </c>
      <c r="D71" s="9">
        <v>-0.27200000000000002</v>
      </c>
      <c r="E71" s="179"/>
      <c r="F71" s="5">
        <v>3114</v>
      </c>
      <c r="G71" s="9">
        <f t="shared" si="5"/>
        <v>-0.48460774577954324</v>
      </c>
      <c r="H71" s="5">
        <v>12700</v>
      </c>
      <c r="I71" s="9">
        <f t="shared" si="6"/>
        <v>-0.20625000000000004</v>
      </c>
      <c r="J71" s="5">
        <v>1143</v>
      </c>
      <c r="K71" s="9">
        <f t="shared" si="7"/>
        <v>-8.7412587412583065E-4</v>
      </c>
      <c r="L71" s="5"/>
      <c r="M71" s="9"/>
      <c r="N71" s="5">
        <v>6735</v>
      </c>
      <c r="O71" s="9">
        <f t="shared" si="8"/>
        <v>-0.29960482529118138</v>
      </c>
    </row>
    <row r="72" spans="1:15" s="152" customFormat="1" ht="13.5" hidden="1" customHeight="1">
      <c r="A72" s="461"/>
      <c r="B72" s="15" t="s">
        <v>25</v>
      </c>
      <c r="C72" s="5">
        <v>996695</v>
      </c>
      <c r="D72" s="9">
        <v>-0.123</v>
      </c>
      <c r="E72" s="179"/>
      <c r="F72" s="5">
        <v>5152</v>
      </c>
      <c r="G72" s="9">
        <f t="shared" si="5"/>
        <v>-0.37047898338220919</v>
      </c>
      <c r="H72" s="5">
        <v>17000</v>
      </c>
      <c r="I72" s="9">
        <f t="shared" si="6"/>
        <v>-0.27038626609442062</v>
      </c>
      <c r="J72" s="5">
        <v>1186</v>
      </c>
      <c r="K72" s="9">
        <f t="shared" si="7"/>
        <v>-2.1452145214521434E-2</v>
      </c>
      <c r="L72" s="5"/>
      <c r="M72" s="9"/>
      <c r="N72" s="5">
        <v>9987</v>
      </c>
      <c r="O72" s="9">
        <f t="shared" si="8"/>
        <v>-2.1649686520376132E-2</v>
      </c>
    </row>
    <row r="73" spans="1:15" s="152" customFormat="1" ht="13.5" hidden="1" customHeight="1">
      <c r="A73" s="461"/>
      <c r="B73" s="15" t="s">
        <v>26</v>
      </c>
      <c r="C73" s="5">
        <v>1041527</v>
      </c>
      <c r="D73" s="9">
        <v>-0.105</v>
      </c>
      <c r="E73" s="179"/>
      <c r="F73" s="5">
        <v>4200</v>
      </c>
      <c r="G73" s="9">
        <f t="shared" si="5"/>
        <v>-0.33712121212121215</v>
      </c>
      <c r="H73" s="5">
        <v>15200</v>
      </c>
      <c r="I73" s="9">
        <f t="shared" si="6"/>
        <v>-0.18716577540106949</v>
      </c>
      <c r="J73" s="5">
        <v>1209</v>
      </c>
      <c r="K73" s="9">
        <f t="shared" si="7"/>
        <v>-0.10311572700296734</v>
      </c>
      <c r="L73" s="5"/>
      <c r="M73" s="9"/>
      <c r="N73" s="5">
        <v>10600</v>
      </c>
      <c r="O73" s="9">
        <f t="shared" si="8"/>
        <v>-8.4190832553788786E-3</v>
      </c>
    </row>
    <row r="74" spans="1:15" s="152" customFormat="1" ht="13.5" hidden="1" customHeight="1">
      <c r="A74" s="461"/>
      <c r="B74" s="15" t="s">
        <v>27</v>
      </c>
      <c r="C74" s="5">
        <v>658487</v>
      </c>
      <c r="D74" s="9">
        <v>-0.19600000000000001</v>
      </c>
      <c r="E74" s="179"/>
      <c r="F74" s="5">
        <v>3045</v>
      </c>
      <c r="G74" s="9">
        <f t="shared" si="5"/>
        <v>-0.33471706357876341</v>
      </c>
      <c r="H74" s="5">
        <v>11300</v>
      </c>
      <c r="I74" s="9">
        <f t="shared" si="6"/>
        <v>-0.15671641791044777</v>
      </c>
      <c r="J74" s="5">
        <v>836</v>
      </c>
      <c r="K74" s="9">
        <f t="shared" si="7"/>
        <v>-0.34738485558157695</v>
      </c>
      <c r="L74" s="5"/>
      <c r="M74" s="9"/>
      <c r="N74" s="5">
        <v>4302</v>
      </c>
      <c r="O74" s="9">
        <f t="shared" si="8"/>
        <v>-0.35762281618635205</v>
      </c>
    </row>
    <row r="75" spans="1:15" s="152" customFormat="1" ht="13.5" hidden="1" customHeight="1">
      <c r="A75" s="461"/>
      <c r="B75" s="15" t="s">
        <v>28</v>
      </c>
      <c r="C75" s="5">
        <v>714880</v>
      </c>
      <c r="D75" s="9">
        <v>-0.23400000000000001</v>
      </c>
      <c r="E75" s="179"/>
      <c r="F75" s="5">
        <v>3933</v>
      </c>
      <c r="G75" s="9">
        <f t="shared" si="5"/>
        <v>-0.33112244897959187</v>
      </c>
      <c r="H75" s="5">
        <v>13000</v>
      </c>
      <c r="I75" s="9">
        <f t="shared" si="6"/>
        <v>-0.22619047619047616</v>
      </c>
      <c r="J75" s="5">
        <v>421</v>
      </c>
      <c r="K75" s="9">
        <f t="shared" si="7"/>
        <v>-0.64799331103678925</v>
      </c>
      <c r="L75" s="5"/>
      <c r="M75" s="9"/>
      <c r="N75" s="5">
        <v>4813</v>
      </c>
      <c r="O75" s="9">
        <f t="shared" si="8"/>
        <v>-0.44773379231210553</v>
      </c>
    </row>
    <row r="76" spans="1:15" s="152" customFormat="1" ht="13.5" hidden="1" customHeight="1">
      <c r="A76" s="461"/>
      <c r="B76" s="15" t="s">
        <v>29</v>
      </c>
      <c r="C76" s="5">
        <v>721940</v>
      </c>
      <c r="D76" s="9">
        <v>2.1000000000000001E-2</v>
      </c>
      <c r="E76" s="179"/>
      <c r="F76" s="5">
        <v>4370</v>
      </c>
      <c r="G76" s="9">
        <f t="shared" si="5"/>
        <v>-0.12494993992791348</v>
      </c>
      <c r="H76" s="5">
        <v>15200</v>
      </c>
      <c r="I76" s="9">
        <f t="shared" si="6"/>
        <v>4.1095890410958846E-2</v>
      </c>
      <c r="J76" s="5">
        <v>863</v>
      </c>
      <c r="K76" s="9">
        <f t="shared" si="7"/>
        <v>-0.28023352793994993</v>
      </c>
      <c r="L76" s="5"/>
      <c r="M76" s="9"/>
      <c r="N76" s="5">
        <v>6892</v>
      </c>
      <c r="O76" s="9">
        <f t="shared" si="8"/>
        <v>-0.22666068222621183</v>
      </c>
    </row>
    <row r="77" spans="1:15" s="152" customFormat="1" ht="13.5" hidden="1" customHeight="1">
      <c r="A77" s="462"/>
      <c r="B77" s="41" t="s">
        <v>30</v>
      </c>
      <c r="C77" s="5">
        <v>888782</v>
      </c>
      <c r="D77" s="9">
        <v>0.33100000000000002</v>
      </c>
      <c r="E77" s="179"/>
      <c r="F77" s="5">
        <v>5643</v>
      </c>
      <c r="G77" s="9">
        <f t="shared" si="5"/>
        <v>8.8541666666666741E-2</v>
      </c>
      <c r="H77" s="5">
        <v>18900</v>
      </c>
      <c r="I77" s="19">
        <f t="shared" si="6"/>
        <v>0.18124999999999991</v>
      </c>
      <c r="J77" s="5">
        <v>1070</v>
      </c>
      <c r="K77" s="9">
        <f t="shared" si="7"/>
        <v>-0.10907577019150705</v>
      </c>
      <c r="L77" s="5"/>
      <c r="M77" s="9"/>
      <c r="N77" s="5">
        <v>10157</v>
      </c>
      <c r="O77" s="19">
        <f t="shared" si="8"/>
        <v>0.25426031118794756</v>
      </c>
    </row>
    <row r="78" spans="1:15" s="152" customFormat="1" ht="13.5" hidden="1" customHeight="1">
      <c r="A78" s="457" t="s">
        <v>185</v>
      </c>
      <c r="B78" s="62" t="s">
        <v>170</v>
      </c>
      <c r="C78" s="23">
        <v>1118261</v>
      </c>
      <c r="D78" s="24">
        <v>0.376</v>
      </c>
      <c r="E78" s="179"/>
      <c r="F78" s="23">
        <v>8178</v>
      </c>
      <c r="G78" s="24">
        <f t="shared" si="5"/>
        <v>0.29809523809523819</v>
      </c>
      <c r="H78" s="23">
        <v>20900</v>
      </c>
      <c r="I78" s="9">
        <f t="shared" si="6"/>
        <v>0.14207650273224037</v>
      </c>
      <c r="J78" s="23">
        <v>1311</v>
      </c>
      <c r="K78" s="24">
        <f>(J78/J66-1)</f>
        <v>-0.31181102362204727</v>
      </c>
      <c r="L78" s="23"/>
      <c r="M78" s="24"/>
      <c r="N78" s="25">
        <v>11700</v>
      </c>
      <c r="O78" s="9">
        <f t="shared" si="8"/>
        <v>0.34854771784232375</v>
      </c>
    </row>
    <row r="79" spans="1:15" s="152" customFormat="1" ht="13.5" hidden="1" customHeight="1">
      <c r="A79" s="461"/>
      <c r="B79" s="62" t="s">
        <v>171</v>
      </c>
      <c r="C79" s="3">
        <v>908103</v>
      </c>
      <c r="D79" s="9">
        <v>0.20499999999999999</v>
      </c>
      <c r="E79" s="179"/>
      <c r="F79" s="3">
        <v>5275</v>
      </c>
      <c r="G79" s="9">
        <f t="shared" si="5"/>
        <v>4.2490118577075187E-2</v>
      </c>
      <c r="H79" s="3">
        <v>16700</v>
      </c>
      <c r="I79" s="9">
        <f t="shared" si="6"/>
        <v>6.0240963855422436E-3</v>
      </c>
      <c r="J79" s="3">
        <v>1077</v>
      </c>
      <c r="K79" s="9">
        <f t="shared" si="7"/>
        <v>-3.2345013477088957E-2</v>
      </c>
      <c r="L79" s="3"/>
      <c r="M79" s="9"/>
      <c r="N79" s="5">
        <v>9575</v>
      </c>
      <c r="O79" s="9">
        <f t="shared" si="8"/>
        <v>0.15291992775436491</v>
      </c>
    </row>
    <row r="80" spans="1:15" s="152" customFormat="1" ht="13.5" hidden="1" customHeight="1">
      <c r="A80" s="461"/>
      <c r="B80" s="62" t="s">
        <v>174</v>
      </c>
      <c r="C80" s="3">
        <v>950185</v>
      </c>
      <c r="D80" s="9">
        <v>0.35299999999999998</v>
      </c>
      <c r="E80" s="179"/>
      <c r="F80" s="3">
        <v>7852</v>
      </c>
      <c r="G80" s="9">
        <f t="shared" si="5"/>
        <v>0.43494152046783618</v>
      </c>
      <c r="H80" s="3">
        <v>20600</v>
      </c>
      <c r="I80" s="9">
        <f t="shared" si="6"/>
        <v>0.30379746835443044</v>
      </c>
      <c r="J80" s="3">
        <v>1079</v>
      </c>
      <c r="K80" s="9">
        <f t="shared" si="7"/>
        <v>-4.5977011494252928E-2</v>
      </c>
      <c r="L80" s="3"/>
      <c r="M80" s="9"/>
      <c r="N80" s="5">
        <v>8185</v>
      </c>
      <c r="O80" s="9">
        <f t="shared" si="8"/>
        <v>0.47957339117859732</v>
      </c>
    </row>
    <row r="81" spans="1:15" s="152" customFormat="1" ht="13.5" hidden="1" customHeight="1">
      <c r="A81" s="461"/>
      <c r="B81" s="62" t="s">
        <v>175</v>
      </c>
      <c r="C81" s="3">
        <v>935904</v>
      </c>
      <c r="D81" s="9">
        <v>0.27400000000000002</v>
      </c>
      <c r="E81" s="179"/>
      <c r="F81" s="3">
        <v>5136</v>
      </c>
      <c r="G81" s="9">
        <f t="shared" si="5"/>
        <v>0.34944823962165006</v>
      </c>
      <c r="H81" s="3">
        <v>16600</v>
      </c>
      <c r="I81" s="9">
        <f t="shared" si="6"/>
        <v>0.15277777777777768</v>
      </c>
      <c r="J81" s="3">
        <v>1125</v>
      </c>
      <c r="K81" s="9">
        <f t="shared" si="7"/>
        <v>5.3370786516854007E-2</v>
      </c>
      <c r="L81" s="3"/>
      <c r="M81" s="9"/>
      <c r="N81" s="5">
        <v>8619</v>
      </c>
      <c r="O81" s="9">
        <f t="shared" si="8"/>
        <v>0.31067518248175174</v>
      </c>
    </row>
    <row r="82" spans="1:15" s="152" customFormat="1" ht="13.5" hidden="1" customHeight="1">
      <c r="A82" s="461"/>
      <c r="B82" s="62" t="s">
        <v>176</v>
      </c>
      <c r="C82" s="3">
        <v>1023815</v>
      </c>
      <c r="D82" s="9">
        <v>0.38800000000000001</v>
      </c>
      <c r="E82" s="179"/>
      <c r="F82" s="3">
        <v>4300</v>
      </c>
      <c r="G82" s="9">
        <f t="shared" si="5"/>
        <v>0.52158527954706302</v>
      </c>
      <c r="H82" s="3">
        <v>15800</v>
      </c>
      <c r="I82" s="9">
        <f t="shared" si="6"/>
        <v>0.25396825396825395</v>
      </c>
      <c r="J82" s="3">
        <v>1067</v>
      </c>
      <c r="K82" s="9">
        <f t="shared" si="7"/>
        <v>2.8195488721804995E-3</v>
      </c>
      <c r="L82" s="3"/>
      <c r="M82" s="9"/>
      <c r="N82" s="5">
        <v>9643</v>
      </c>
      <c r="O82" s="9">
        <f t="shared" si="8"/>
        <v>0.47064206191856028</v>
      </c>
    </row>
    <row r="83" spans="1:15" s="152" customFormat="1" ht="13.5" hidden="1" customHeight="1">
      <c r="A83" s="461"/>
      <c r="B83" s="62" t="s">
        <v>177</v>
      </c>
      <c r="C83" s="3">
        <v>997597</v>
      </c>
      <c r="D83" s="9">
        <v>0.36399999999999999</v>
      </c>
      <c r="E83" s="179"/>
      <c r="F83" s="3">
        <v>4160</v>
      </c>
      <c r="G83" s="9">
        <f t="shared" si="5"/>
        <v>0.33590237636480413</v>
      </c>
      <c r="H83" s="3">
        <v>14900</v>
      </c>
      <c r="I83" s="9">
        <f t="shared" si="6"/>
        <v>0.17322834645669283</v>
      </c>
      <c r="J83" s="3">
        <v>1002</v>
      </c>
      <c r="K83" s="9">
        <f t="shared" si="7"/>
        <v>-0.12335958005249348</v>
      </c>
      <c r="L83" s="3"/>
      <c r="M83" s="9"/>
      <c r="N83" s="5">
        <v>8931</v>
      </c>
      <c r="O83" s="9">
        <f t="shared" si="8"/>
        <v>0.3260579064587974</v>
      </c>
    </row>
    <row r="84" spans="1:15" s="152" customFormat="1" ht="13.5" hidden="1" customHeight="1">
      <c r="A84" s="461"/>
      <c r="B84" s="62" t="s">
        <v>178</v>
      </c>
      <c r="C84" s="3">
        <v>1223723</v>
      </c>
      <c r="D84" s="9">
        <v>0.22800000000000001</v>
      </c>
      <c r="E84" s="179"/>
      <c r="F84" s="3">
        <v>5952</v>
      </c>
      <c r="G84" s="9">
        <f t="shared" si="5"/>
        <v>0.15527950310559002</v>
      </c>
      <c r="H84" s="3">
        <v>18400</v>
      </c>
      <c r="I84" s="9">
        <f t="shared" si="6"/>
        <v>8.2352941176470518E-2</v>
      </c>
      <c r="J84" s="3">
        <v>1826</v>
      </c>
      <c r="K84" s="9">
        <f t="shared" si="7"/>
        <v>0.539629005059022</v>
      </c>
      <c r="L84" s="3"/>
      <c r="M84" s="9"/>
      <c r="N84" s="5">
        <v>10782</v>
      </c>
      <c r="O84" s="9">
        <f t="shared" si="8"/>
        <v>7.9603484529888746E-2</v>
      </c>
    </row>
    <row r="85" spans="1:15" s="152" customFormat="1" ht="13.5" hidden="1" customHeight="1">
      <c r="A85" s="461"/>
      <c r="B85" s="62" t="s">
        <v>179</v>
      </c>
      <c r="C85" s="3">
        <v>1235742</v>
      </c>
      <c r="D85" s="9">
        <v>0.186</v>
      </c>
      <c r="E85" s="179"/>
      <c r="F85" s="3">
        <v>4708</v>
      </c>
      <c r="G85" s="9">
        <f t="shared" si="5"/>
        <v>0.12095238095238092</v>
      </c>
      <c r="H85" s="3">
        <v>16200</v>
      </c>
      <c r="I85" s="9">
        <f t="shared" si="6"/>
        <v>6.578947368421062E-2</v>
      </c>
      <c r="J85" s="3">
        <v>2214</v>
      </c>
      <c r="K85" s="9">
        <f t="shared" si="7"/>
        <v>0.83126550868486349</v>
      </c>
      <c r="L85" s="3"/>
      <c r="M85" s="9"/>
      <c r="N85" s="5">
        <v>10786</v>
      </c>
      <c r="O85" s="9">
        <f t="shared" si="8"/>
        <v>1.7547169811320762E-2</v>
      </c>
    </row>
    <row r="86" spans="1:15" s="152" customFormat="1" ht="13.5" hidden="1" customHeight="1">
      <c r="A86" s="461"/>
      <c r="B86" s="62" t="s">
        <v>180</v>
      </c>
      <c r="C86" s="3">
        <v>1013123</v>
      </c>
      <c r="D86" s="9">
        <v>0.53900000000000003</v>
      </c>
      <c r="E86" s="179"/>
      <c r="F86" s="3">
        <v>4290</v>
      </c>
      <c r="G86" s="9">
        <f t="shared" si="5"/>
        <v>0.40886699507389168</v>
      </c>
      <c r="H86" s="3">
        <v>16400</v>
      </c>
      <c r="I86" s="9">
        <f t="shared" si="6"/>
        <v>0.45132743362831862</v>
      </c>
      <c r="J86" s="3">
        <v>925</v>
      </c>
      <c r="K86" s="9">
        <f t="shared" si="7"/>
        <v>0.10645933014354059</v>
      </c>
      <c r="L86" s="3"/>
      <c r="M86" s="9"/>
      <c r="N86" s="5">
        <v>7958</v>
      </c>
      <c r="O86" s="9">
        <f t="shared" si="8"/>
        <v>0.84983728498372857</v>
      </c>
    </row>
    <row r="87" spans="1:15" s="152" customFormat="1" ht="13.5" hidden="1" customHeight="1">
      <c r="A87" s="461"/>
      <c r="B87" s="62" t="s">
        <v>181</v>
      </c>
      <c r="C87" s="3">
        <v>1055581</v>
      </c>
      <c r="D87" s="9">
        <v>0.47699999999999998</v>
      </c>
      <c r="E87" s="179"/>
      <c r="F87" s="3">
        <v>5425</v>
      </c>
      <c r="G87" s="9">
        <f t="shared" si="5"/>
        <v>0.37935418255784392</v>
      </c>
      <c r="H87" s="3">
        <v>18300</v>
      </c>
      <c r="I87" s="9">
        <f t="shared" si="6"/>
        <v>0.4076923076923078</v>
      </c>
      <c r="J87" s="3">
        <v>1155</v>
      </c>
      <c r="K87" s="9">
        <f t="shared" si="7"/>
        <v>1.7434679334916865</v>
      </c>
      <c r="L87" s="3"/>
      <c r="M87" s="9"/>
      <c r="N87" s="5">
        <v>8681</v>
      </c>
      <c r="O87" s="9">
        <v>0.8</v>
      </c>
    </row>
    <row r="88" spans="1:15" s="152" customFormat="1" ht="13.5" hidden="1" customHeight="1">
      <c r="A88" s="461"/>
      <c r="B88" s="62" t="s">
        <v>186</v>
      </c>
      <c r="C88" s="3">
        <v>1004902</v>
      </c>
      <c r="D88" s="9">
        <v>0.39200000000000002</v>
      </c>
      <c r="E88" s="179"/>
      <c r="F88" s="3">
        <v>6175</v>
      </c>
      <c r="G88" s="9">
        <v>0.41299999999999998</v>
      </c>
      <c r="H88" s="3">
        <v>19400</v>
      </c>
      <c r="I88" s="9">
        <v>0.28000000000000003</v>
      </c>
      <c r="J88" s="3">
        <v>1216</v>
      </c>
      <c r="K88" s="9">
        <v>0.41299999999999998</v>
      </c>
      <c r="L88" s="3"/>
      <c r="M88" s="9"/>
      <c r="N88" s="5">
        <v>10428</v>
      </c>
      <c r="O88" s="9">
        <v>0.51</v>
      </c>
    </row>
    <row r="89" spans="1:15" s="152" customFormat="1" ht="13.5" hidden="1" customHeight="1">
      <c r="A89" s="462"/>
      <c r="B89" s="41" t="s">
        <v>182</v>
      </c>
      <c r="C89" s="3">
        <v>1021428</v>
      </c>
      <c r="D89" s="9">
        <v>0.14899999999999999</v>
      </c>
      <c r="E89" s="179"/>
      <c r="F89" s="5">
        <v>5858</v>
      </c>
      <c r="G89" s="19">
        <f t="shared" ref="G89:G124" si="9">(F89/F77-1)</f>
        <v>3.8100301258195968E-2</v>
      </c>
      <c r="H89" s="5">
        <v>19800</v>
      </c>
      <c r="I89" s="19">
        <f t="shared" ref="I89:I117" si="10">(H89/H77-1)</f>
        <v>4.7619047619047672E-2</v>
      </c>
      <c r="J89" s="5">
        <v>1147</v>
      </c>
      <c r="K89" s="19">
        <f t="shared" ref="K89:K125" si="11">(J89/J77-1)</f>
        <v>7.1962616822429881E-2</v>
      </c>
      <c r="L89" s="5"/>
      <c r="M89" s="19"/>
      <c r="N89" s="5">
        <v>10485</v>
      </c>
      <c r="O89" s="19">
        <v>0.03</v>
      </c>
    </row>
    <row r="90" spans="1:15" s="152" customFormat="1" ht="13.5" hidden="1" customHeight="1">
      <c r="A90" s="457" t="s">
        <v>187</v>
      </c>
      <c r="B90" s="2" t="s">
        <v>170</v>
      </c>
      <c r="C90" s="25">
        <v>1268007</v>
      </c>
      <c r="D90" s="24">
        <v>0.13400000000000001</v>
      </c>
      <c r="E90" s="179"/>
      <c r="F90" s="25">
        <v>8700</v>
      </c>
      <c r="G90" s="9">
        <f t="shared" si="9"/>
        <v>6.3829787234042534E-2</v>
      </c>
      <c r="H90" s="25">
        <v>21600</v>
      </c>
      <c r="I90" s="9">
        <f t="shared" si="10"/>
        <v>3.3492822966507241E-2</v>
      </c>
      <c r="J90" s="25">
        <v>1204</v>
      </c>
      <c r="K90" s="9">
        <f t="shared" si="11"/>
        <v>-8.1617086193745192E-2</v>
      </c>
      <c r="L90" s="25">
        <v>508</v>
      </c>
      <c r="M90" s="9"/>
      <c r="N90" s="25">
        <v>12685</v>
      </c>
      <c r="O90" s="9">
        <f t="shared" ref="O90:O110" si="12">(N90/N78-1)</f>
        <v>8.4188034188034111E-2</v>
      </c>
    </row>
    <row r="91" spans="1:15" s="152" customFormat="1" ht="13.5" hidden="1" customHeight="1">
      <c r="A91" s="461"/>
      <c r="B91" s="15" t="s">
        <v>171</v>
      </c>
      <c r="C91" s="5">
        <v>1091628</v>
      </c>
      <c r="D91" s="9">
        <f t="shared" ref="D91:D125" si="13">(C91-C79)/C79</f>
        <v>0.20209711893915117</v>
      </c>
      <c r="E91" s="179"/>
      <c r="F91" s="5">
        <v>5475</v>
      </c>
      <c r="G91" s="9">
        <f t="shared" si="9"/>
        <v>3.7914691943127909E-2</v>
      </c>
      <c r="H91" s="5">
        <v>19300</v>
      </c>
      <c r="I91" s="9">
        <f t="shared" si="10"/>
        <v>0.15568862275449091</v>
      </c>
      <c r="J91" s="5">
        <v>887</v>
      </c>
      <c r="K91" s="9">
        <f t="shared" si="11"/>
        <v>-0.17641597028783662</v>
      </c>
      <c r="L91" s="5">
        <v>422</v>
      </c>
      <c r="M91" s="9"/>
      <c r="N91" s="5">
        <v>10133</v>
      </c>
      <c r="O91" s="9">
        <f t="shared" si="12"/>
        <v>5.8276762402088789E-2</v>
      </c>
    </row>
    <row r="92" spans="1:15" s="152" customFormat="1" ht="13.5" hidden="1" customHeight="1">
      <c r="A92" s="461"/>
      <c r="B92" s="15" t="s">
        <v>21</v>
      </c>
      <c r="C92" s="5">
        <v>868694</v>
      </c>
      <c r="D92" s="9">
        <f t="shared" si="13"/>
        <v>-8.5763298726037565E-2</v>
      </c>
      <c r="E92" s="179"/>
      <c r="F92" s="5">
        <v>4860</v>
      </c>
      <c r="G92" s="9">
        <f t="shared" si="9"/>
        <v>-0.38104941416199689</v>
      </c>
      <c r="H92" s="5">
        <v>15700</v>
      </c>
      <c r="I92" s="9">
        <f t="shared" si="10"/>
        <v>-0.23786407766990292</v>
      </c>
      <c r="J92" s="5">
        <v>516</v>
      </c>
      <c r="K92" s="9">
        <f t="shared" si="11"/>
        <v>-0.52177942539388322</v>
      </c>
      <c r="L92" s="5">
        <v>314</v>
      </c>
      <c r="M92" s="9"/>
      <c r="N92" s="5">
        <v>7072</v>
      </c>
      <c r="O92" s="9">
        <f t="shared" si="12"/>
        <v>-0.13598045204642639</v>
      </c>
    </row>
    <row r="93" spans="1:15" s="152" customFormat="1" ht="13.5" hidden="1" customHeight="1">
      <c r="A93" s="461"/>
      <c r="B93" s="15" t="s">
        <v>22</v>
      </c>
      <c r="C93" s="5">
        <v>867487</v>
      </c>
      <c r="D93" s="9">
        <f t="shared" si="13"/>
        <v>-7.310258317092351E-2</v>
      </c>
      <c r="E93" s="179"/>
      <c r="F93" s="5">
        <v>2640</v>
      </c>
      <c r="G93" s="9">
        <f t="shared" si="9"/>
        <v>-0.48598130841121501</v>
      </c>
      <c r="H93" s="5">
        <v>12100</v>
      </c>
      <c r="I93" s="9">
        <f t="shared" si="10"/>
        <v>-0.27108433734939763</v>
      </c>
      <c r="J93" s="5">
        <v>742</v>
      </c>
      <c r="K93" s="9">
        <f t="shared" si="11"/>
        <v>-0.34044444444444444</v>
      </c>
      <c r="L93" s="5">
        <v>459</v>
      </c>
      <c r="M93" s="9"/>
      <c r="N93" s="5">
        <v>6349</v>
      </c>
      <c r="O93" s="9">
        <f t="shared" si="12"/>
        <v>-0.26337162083768417</v>
      </c>
    </row>
    <row r="94" spans="1:15" s="152" customFormat="1" ht="13.5" hidden="1" customHeight="1">
      <c r="A94" s="461"/>
      <c r="B94" s="15" t="s">
        <v>23</v>
      </c>
      <c r="C94" s="5">
        <v>1014409</v>
      </c>
      <c r="D94" s="9">
        <f t="shared" si="13"/>
        <v>-9.1872066730805859E-3</v>
      </c>
      <c r="E94" s="179"/>
      <c r="F94" s="5">
        <v>2860</v>
      </c>
      <c r="G94" s="9">
        <f t="shared" si="9"/>
        <v>-0.33488372093023255</v>
      </c>
      <c r="H94" s="5">
        <v>14400</v>
      </c>
      <c r="I94" s="9">
        <f t="shared" si="10"/>
        <v>-8.8607594936708889E-2</v>
      </c>
      <c r="J94" s="5">
        <v>880</v>
      </c>
      <c r="K94" s="9">
        <f t="shared" si="11"/>
        <v>-0.17525773195876293</v>
      </c>
      <c r="L94" s="5">
        <v>428</v>
      </c>
      <c r="M94" s="9"/>
      <c r="N94" s="5">
        <v>7303</v>
      </c>
      <c r="O94" s="9">
        <f t="shared" si="12"/>
        <v>-0.24266307165819767</v>
      </c>
    </row>
    <row r="95" spans="1:15" s="152" customFormat="1" ht="13.5" hidden="1" customHeight="1">
      <c r="A95" s="461"/>
      <c r="B95" s="15" t="s">
        <v>24</v>
      </c>
      <c r="C95" s="5">
        <v>1053658</v>
      </c>
      <c r="D95" s="9">
        <f t="shared" si="13"/>
        <v>5.619603908191384E-2</v>
      </c>
      <c r="E95" s="179"/>
      <c r="F95" s="5">
        <v>2780</v>
      </c>
      <c r="G95" s="9">
        <f t="shared" si="9"/>
        <v>-0.33173076923076927</v>
      </c>
      <c r="H95" s="5">
        <v>13100</v>
      </c>
      <c r="I95" s="9">
        <f t="shared" si="10"/>
        <v>-0.12080536912751683</v>
      </c>
      <c r="J95" s="5">
        <v>903</v>
      </c>
      <c r="K95" s="9">
        <f t="shared" si="11"/>
        <v>-9.8802395209580784E-2</v>
      </c>
      <c r="L95" s="5">
        <v>446</v>
      </c>
      <c r="M95" s="9"/>
      <c r="N95" s="5">
        <v>7064</v>
      </c>
      <c r="O95" s="9">
        <f t="shared" si="12"/>
        <v>-0.20904713917814355</v>
      </c>
    </row>
    <row r="96" spans="1:15" s="152" customFormat="1" ht="13.5" hidden="1" customHeight="1">
      <c r="A96" s="461"/>
      <c r="B96" s="15" t="s">
        <v>25</v>
      </c>
      <c r="C96" s="5">
        <v>1241629</v>
      </c>
      <c r="D96" s="9">
        <f t="shared" si="13"/>
        <v>1.4632396383822155E-2</v>
      </c>
      <c r="E96" s="179"/>
      <c r="F96" s="5">
        <v>4928</v>
      </c>
      <c r="G96" s="9">
        <f t="shared" si="9"/>
        <v>-0.17204301075268813</v>
      </c>
      <c r="H96" s="5">
        <v>17800</v>
      </c>
      <c r="I96" s="9">
        <f t="shared" si="10"/>
        <v>-3.2608695652173947E-2</v>
      </c>
      <c r="J96" s="5">
        <v>2438</v>
      </c>
      <c r="K96" s="9">
        <f t="shared" si="11"/>
        <v>0.33515881708652784</v>
      </c>
      <c r="L96" s="5">
        <v>399</v>
      </c>
      <c r="M96" s="9"/>
      <c r="N96" s="5">
        <v>8997</v>
      </c>
      <c r="O96" s="9">
        <f t="shared" si="12"/>
        <v>-0.16555370061213137</v>
      </c>
    </row>
    <row r="97" spans="1:15" s="152" customFormat="1" ht="13.5" hidden="1" customHeight="1">
      <c r="A97" s="461"/>
      <c r="B97" s="15" t="s">
        <v>26</v>
      </c>
      <c r="C97" s="5">
        <v>1247222</v>
      </c>
      <c r="D97" s="9">
        <f t="shared" si="13"/>
        <v>9.2899650574310814E-3</v>
      </c>
      <c r="E97" s="179"/>
      <c r="F97" s="5">
        <v>3728</v>
      </c>
      <c r="G97" s="9">
        <f t="shared" si="9"/>
        <v>-0.20815632965165676</v>
      </c>
      <c r="H97" s="5">
        <v>15800</v>
      </c>
      <c r="I97" s="9">
        <f t="shared" si="10"/>
        <v>-2.4691358024691357E-2</v>
      </c>
      <c r="J97" s="5">
        <v>2417</v>
      </c>
      <c r="K97" s="9">
        <f t="shared" si="11"/>
        <v>9.1689250225835517E-2</v>
      </c>
      <c r="L97" s="5">
        <v>420</v>
      </c>
      <c r="M97" s="9"/>
      <c r="N97" s="5">
        <v>10540</v>
      </c>
      <c r="O97" s="9">
        <f t="shared" si="12"/>
        <v>-2.2807342851844936E-2</v>
      </c>
    </row>
    <row r="98" spans="1:15" s="152" customFormat="1" ht="13.5" hidden="1" customHeight="1">
      <c r="A98" s="461"/>
      <c r="B98" s="15" t="s">
        <v>27</v>
      </c>
      <c r="C98" s="5">
        <v>1013507</v>
      </c>
      <c r="D98" s="9">
        <f t="shared" si="13"/>
        <v>3.7902604126053798E-4</v>
      </c>
      <c r="E98" s="179"/>
      <c r="F98" s="5">
        <v>2672</v>
      </c>
      <c r="G98" s="9">
        <f t="shared" si="9"/>
        <v>-0.37715617715617711</v>
      </c>
      <c r="H98" s="5">
        <v>13900</v>
      </c>
      <c r="I98" s="9">
        <f t="shared" si="10"/>
        <v>-0.15243902439024393</v>
      </c>
      <c r="J98" s="5">
        <v>1215</v>
      </c>
      <c r="K98" s="9">
        <f t="shared" si="11"/>
        <v>0.31351351351351342</v>
      </c>
      <c r="L98" s="5">
        <v>352</v>
      </c>
      <c r="M98" s="9"/>
      <c r="N98" s="5">
        <v>6746</v>
      </c>
      <c r="O98" s="9">
        <f t="shared" si="12"/>
        <v>-0.15229957275697414</v>
      </c>
    </row>
    <row r="99" spans="1:15" s="152" customFormat="1" ht="13.5" hidden="1" customHeight="1">
      <c r="A99" s="461"/>
      <c r="B99" s="15" t="s">
        <v>28</v>
      </c>
      <c r="C99" s="5">
        <v>1032589</v>
      </c>
      <c r="D99" s="9">
        <f t="shared" si="13"/>
        <v>-2.178136969119376E-2</v>
      </c>
      <c r="E99" s="179"/>
      <c r="F99" s="5">
        <v>3600</v>
      </c>
      <c r="G99" s="9">
        <f t="shared" si="9"/>
        <v>-0.33640552995391704</v>
      </c>
      <c r="H99" s="5">
        <v>16200</v>
      </c>
      <c r="I99" s="9">
        <f t="shared" si="10"/>
        <v>-0.11475409836065575</v>
      </c>
      <c r="J99" s="5">
        <v>1303</v>
      </c>
      <c r="K99" s="9">
        <f t="shared" si="11"/>
        <v>0.12813852813852811</v>
      </c>
      <c r="L99" s="5">
        <v>387</v>
      </c>
      <c r="M99" s="9"/>
      <c r="N99" s="5">
        <v>7880</v>
      </c>
      <c r="O99" s="9">
        <f t="shared" si="12"/>
        <v>-9.227047575164149E-2</v>
      </c>
    </row>
    <row r="100" spans="1:15" s="152" customFormat="1" ht="13.5" hidden="1" customHeight="1">
      <c r="A100" s="461"/>
      <c r="B100" s="15" t="s">
        <v>29</v>
      </c>
      <c r="C100" s="5">
        <v>974255</v>
      </c>
      <c r="D100" s="9">
        <f t="shared" si="13"/>
        <v>-3.0497501248878001E-2</v>
      </c>
      <c r="E100" s="179"/>
      <c r="F100" s="5">
        <v>4528</v>
      </c>
      <c r="G100" s="9">
        <f t="shared" si="9"/>
        <v>-0.26672064777327931</v>
      </c>
      <c r="H100" s="5">
        <v>17400</v>
      </c>
      <c r="I100" s="9">
        <f t="shared" si="10"/>
        <v>-0.10309278350515461</v>
      </c>
      <c r="J100" s="5">
        <v>1380</v>
      </c>
      <c r="K100" s="9">
        <f t="shared" si="11"/>
        <v>0.13486842105263164</v>
      </c>
      <c r="L100" s="5">
        <v>516</v>
      </c>
      <c r="M100" s="9"/>
      <c r="N100" s="5">
        <v>11389</v>
      </c>
      <c r="O100" s="9">
        <f t="shared" si="12"/>
        <v>9.2155734560797953E-2</v>
      </c>
    </row>
    <row r="101" spans="1:15" s="152" customFormat="1" ht="13.5" hidden="1" customHeight="1">
      <c r="A101" s="462"/>
      <c r="B101" s="41" t="s">
        <v>30</v>
      </c>
      <c r="C101" s="5">
        <v>1020648</v>
      </c>
      <c r="D101" s="19">
        <f t="shared" si="13"/>
        <v>-7.6363679084575709E-4</v>
      </c>
      <c r="E101" s="179"/>
      <c r="F101" s="5">
        <v>6016</v>
      </c>
      <c r="G101" s="19">
        <f t="shared" si="9"/>
        <v>2.6971662683509701E-2</v>
      </c>
      <c r="H101" s="5">
        <v>20700</v>
      </c>
      <c r="I101" s="19">
        <f t="shared" si="10"/>
        <v>4.5454545454545414E-2</v>
      </c>
      <c r="J101" s="5">
        <v>1796</v>
      </c>
      <c r="K101" s="19">
        <f t="shared" si="11"/>
        <v>0.56582388840453346</v>
      </c>
      <c r="L101" s="5">
        <v>450</v>
      </c>
      <c r="M101" s="19"/>
      <c r="N101" s="5">
        <v>11345</v>
      </c>
      <c r="O101" s="19">
        <f t="shared" si="12"/>
        <v>8.2021936099189396E-2</v>
      </c>
    </row>
    <row r="102" spans="1:15" s="152" customFormat="1" ht="13.5" hidden="1" customHeight="1">
      <c r="A102" s="457" t="s">
        <v>188</v>
      </c>
      <c r="B102" s="2" t="s">
        <v>170</v>
      </c>
      <c r="C102" s="25">
        <v>1200782</v>
      </c>
      <c r="D102" s="9">
        <f t="shared" si="13"/>
        <v>-5.3016268837632601E-2</v>
      </c>
      <c r="E102" s="179"/>
      <c r="F102" s="25">
        <v>7648</v>
      </c>
      <c r="G102" s="9">
        <f t="shared" si="9"/>
        <v>-0.12091954022988505</v>
      </c>
      <c r="H102" s="25">
        <v>19100</v>
      </c>
      <c r="I102" s="24">
        <f t="shared" si="10"/>
        <v>-0.1157407407407407</v>
      </c>
      <c r="J102" s="25">
        <v>1885</v>
      </c>
      <c r="K102" s="9">
        <f t="shared" si="11"/>
        <v>0.56561461794019929</v>
      </c>
      <c r="L102" s="25">
        <v>376</v>
      </c>
      <c r="M102" s="9">
        <f t="shared" ref="M102:M125" si="14">(L102/L90-1)</f>
        <v>-0.25984251968503935</v>
      </c>
      <c r="N102" s="25">
        <v>12758</v>
      </c>
      <c r="O102" s="9">
        <f t="shared" si="12"/>
        <v>5.7548285376429753E-3</v>
      </c>
    </row>
    <row r="103" spans="1:15" s="152" customFormat="1" ht="13.5" hidden="1" customHeight="1">
      <c r="A103" s="461"/>
      <c r="B103" s="15" t="s">
        <v>171</v>
      </c>
      <c r="C103" s="5">
        <v>1150334</v>
      </c>
      <c r="D103" s="9">
        <f t="shared" si="13"/>
        <v>5.3778393372101121E-2</v>
      </c>
      <c r="E103" s="179"/>
      <c r="F103" s="5">
        <v>5696</v>
      </c>
      <c r="G103" s="9">
        <f t="shared" si="9"/>
        <v>4.0365296803652972E-2</v>
      </c>
      <c r="H103" s="5">
        <v>21100</v>
      </c>
      <c r="I103" s="9">
        <f t="shared" si="10"/>
        <v>9.3264248704663322E-2</v>
      </c>
      <c r="J103" s="5">
        <v>1817</v>
      </c>
      <c r="K103" s="9">
        <f t="shared" si="11"/>
        <v>1.0484780157835401</v>
      </c>
      <c r="L103" s="5">
        <v>420</v>
      </c>
      <c r="M103" s="9">
        <f t="shared" si="14"/>
        <v>-4.7393364928910442E-3</v>
      </c>
      <c r="N103" s="5">
        <v>12537</v>
      </c>
      <c r="O103" s="9">
        <f t="shared" si="12"/>
        <v>0.23724464620546737</v>
      </c>
    </row>
    <row r="104" spans="1:15" s="152" customFormat="1" ht="13.5" hidden="1" customHeight="1">
      <c r="A104" s="461"/>
      <c r="B104" s="15" t="s">
        <v>21</v>
      </c>
      <c r="C104" s="5">
        <v>1018952</v>
      </c>
      <c r="D104" s="9">
        <f t="shared" si="13"/>
        <v>0.17296999864163906</v>
      </c>
      <c r="E104" s="179"/>
      <c r="F104" s="5">
        <v>5456</v>
      </c>
      <c r="G104" s="9">
        <f t="shared" si="9"/>
        <v>0.12263374485596712</v>
      </c>
      <c r="H104" s="5">
        <v>16900</v>
      </c>
      <c r="I104" s="9">
        <f t="shared" si="10"/>
        <v>7.6433121019108263E-2</v>
      </c>
      <c r="J104" s="5">
        <v>1163</v>
      </c>
      <c r="K104" s="9">
        <f t="shared" si="11"/>
        <v>1.2538759689922481</v>
      </c>
      <c r="L104" s="5">
        <v>351</v>
      </c>
      <c r="M104" s="9">
        <f t="shared" si="14"/>
        <v>0.11783439490445868</v>
      </c>
      <c r="N104" s="5">
        <v>9431</v>
      </c>
      <c r="O104" s="9">
        <f t="shared" si="12"/>
        <v>0.33356900452488691</v>
      </c>
    </row>
    <row r="105" spans="1:15" s="152" customFormat="1" ht="13.5" hidden="1" customHeight="1">
      <c r="A105" s="461"/>
      <c r="B105" s="73" t="s">
        <v>22</v>
      </c>
      <c r="C105" s="68">
        <v>1018645</v>
      </c>
      <c r="D105" s="74">
        <f t="shared" si="13"/>
        <v>0.17424814435259547</v>
      </c>
      <c r="E105" s="179"/>
      <c r="F105" s="68">
        <v>3648</v>
      </c>
      <c r="G105" s="74">
        <f t="shared" si="9"/>
        <v>0.38181818181818183</v>
      </c>
      <c r="H105" s="68">
        <v>14200</v>
      </c>
      <c r="I105" s="74">
        <f t="shared" si="10"/>
        <v>0.17355371900826455</v>
      </c>
      <c r="J105" s="68">
        <v>1230</v>
      </c>
      <c r="K105" s="74">
        <f t="shared" si="11"/>
        <v>0.65768194070080854</v>
      </c>
      <c r="L105" s="68">
        <v>292</v>
      </c>
      <c r="M105" s="74">
        <f t="shared" si="14"/>
        <v>-0.36383442265795207</v>
      </c>
      <c r="N105" s="68">
        <v>9399</v>
      </c>
      <c r="O105" s="74">
        <f t="shared" si="12"/>
        <v>0.48039061269491268</v>
      </c>
    </row>
    <row r="106" spans="1:15" s="152" customFormat="1" ht="13.5" hidden="1" customHeight="1">
      <c r="A106" s="461"/>
      <c r="B106" s="15" t="s">
        <v>23</v>
      </c>
      <c r="C106" s="5">
        <v>1096950</v>
      </c>
      <c r="D106" s="9">
        <f t="shared" si="13"/>
        <v>8.1368560413008953E-2</v>
      </c>
      <c r="E106" s="179"/>
      <c r="F106" s="5">
        <v>3024</v>
      </c>
      <c r="G106" s="9">
        <f t="shared" si="9"/>
        <v>5.7342657342657422E-2</v>
      </c>
      <c r="H106" s="5">
        <v>13000</v>
      </c>
      <c r="I106" s="74">
        <f t="shared" si="10"/>
        <v>-9.722222222222221E-2</v>
      </c>
      <c r="J106" s="5">
        <v>1122</v>
      </c>
      <c r="K106" s="9">
        <f t="shared" si="11"/>
        <v>0.27499999999999991</v>
      </c>
      <c r="L106" s="5">
        <v>293</v>
      </c>
      <c r="M106" s="9">
        <f t="shared" si="14"/>
        <v>-0.31542056074766356</v>
      </c>
      <c r="N106" s="5">
        <v>9052</v>
      </c>
      <c r="O106" s="74">
        <f t="shared" si="12"/>
        <v>0.23949062029303025</v>
      </c>
    </row>
    <row r="107" spans="1:15" s="152" customFormat="1" ht="13.5" hidden="1" customHeight="1">
      <c r="A107" s="461"/>
      <c r="B107" s="73" t="s">
        <v>24</v>
      </c>
      <c r="C107" s="68">
        <v>1109273</v>
      </c>
      <c r="D107" s="74">
        <f t="shared" si="13"/>
        <v>5.278278150974984E-2</v>
      </c>
      <c r="E107" s="179"/>
      <c r="F107" s="68">
        <v>2896</v>
      </c>
      <c r="G107" s="74">
        <f t="shared" si="9"/>
        <v>4.1726618705036023E-2</v>
      </c>
      <c r="H107" s="68">
        <v>13200</v>
      </c>
      <c r="I107" s="74">
        <f t="shared" si="10"/>
        <v>7.6335877862594437E-3</v>
      </c>
      <c r="J107" s="68">
        <v>1721</v>
      </c>
      <c r="K107" s="74">
        <f t="shared" si="11"/>
        <v>0.90586932447397572</v>
      </c>
      <c r="L107" s="68">
        <v>375</v>
      </c>
      <c r="M107" s="74">
        <f t="shared" si="14"/>
        <v>-0.15919282511210764</v>
      </c>
      <c r="N107" s="68">
        <v>10369</v>
      </c>
      <c r="O107" s="74">
        <f t="shared" si="12"/>
        <v>0.46786523216308051</v>
      </c>
    </row>
    <row r="108" spans="1:15" s="152" customFormat="1" ht="13.5" hidden="1" customHeight="1">
      <c r="A108" s="461"/>
      <c r="B108" s="15" t="s">
        <v>25</v>
      </c>
      <c r="C108" s="5">
        <v>1305418</v>
      </c>
      <c r="D108" s="74">
        <f t="shared" si="13"/>
        <v>5.137524977267767E-2</v>
      </c>
      <c r="E108" s="179"/>
      <c r="F108" s="5">
        <v>4240</v>
      </c>
      <c r="G108" s="9">
        <f t="shared" si="9"/>
        <v>-0.13961038961038963</v>
      </c>
      <c r="H108" s="5">
        <v>15500</v>
      </c>
      <c r="I108" s="74">
        <f t="shared" si="10"/>
        <v>-0.1292134831460674</v>
      </c>
      <c r="J108" s="5">
        <v>1546</v>
      </c>
      <c r="K108" s="9">
        <f t="shared" si="11"/>
        <v>-0.36587366694011481</v>
      </c>
      <c r="L108" s="5">
        <v>381</v>
      </c>
      <c r="M108" s="9">
        <f t="shared" si="14"/>
        <v>-4.5112781954887216E-2</v>
      </c>
      <c r="N108" s="5">
        <v>11391</v>
      </c>
      <c r="O108" s="74">
        <f t="shared" si="12"/>
        <v>0.26608869623207743</v>
      </c>
    </row>
    <row r="109" spans="1:15" s="152" customFormat="1" ht="13.5" hidden="1" customHeight="1">
      <c r="A109" s="461"/>
      <c r="B109" s="73" t="s">
        <v>26</v>
      </c>
      <c r="C109" s="68">
        <v>1334651</v>
      </c>
      <c r="D109" s="74">
        <f t="shared" si="13"/>
        <v>7.0098987990911008E-2</v>
      </c>
      <c r="E109" s="179"/>
      <c r="F109" s="68">
        <v>3040</v>
      </c>
      <c r="G109" s="74">
        <f t="shared" si="9"/>
        <v>-0.18454935622317592</v>
      </c>
      <c r="H109" s="68">
        <v>15600</v>
      </c>
      <c r="I109" s="74">
        <f t="shared" si="10"/>
        <v>-1.2658227848101222E-2</v>
      </c>
      <c r="J109" s="68">
        <v>1696</v>
      </c>
      <c r="K109" s="74">
        <f t="shared" si="11"/>
        <v>-0.29830368225072401</v>
      </c>
      <c r="L109" s="68">
        <v>370</v>
      </c>
      <c r="M109" s="74">
        <f t="shared" si="14"/>
        <v>-0.11904761904761907</v>
      </c>
      <c r="N109" s="68">
        <v>12810</v>
      </c>
      <c r="O109" s="74">
        <f t="shared" si="12"/>
        <v>0.21537001897533203</v>
      </c>
    </row>
    <row r="110" spans="1:15" s="152" customFormat="1" ht="13.5" hidden="1" customHeight="1">
      <c r="A110" s="461"/>
      <c r="B110" s="73" t="s">
        <v>27</v>
      </c>
      <c r="C110" s="68">
        <v>1059709</v>
      </c>
      <c r="D110" s="74">
        <f t="shared" si="13"/>
        <v>4.5586266301071425E-2</v>
      </c>
      <c r="E110" s="179"/>
      <c r="F110" s="68">
        <v>2848</v>
      </c>
      <c r="G110" s="74">
        <f t="shared" si="9"/>
        <v>6.5868263473053856E-2</v>
      </c>
      <c r="H110" s="68">
        <v>13900</v>
      </c>
      <c r="I110" s="74">
        <f t="shared" si="10"/>
        <v>0</v>
      </c>
      <c r="J110" s="68">
        <v>1743</v>
      </c>
      <c r="K110" s="74">
        <f t="shared" si="11"/>
        <v>0.43456790123456801</v>
      </c>
      <c r="L110" s="68">
        <v>318</v>
      </c>
      <c r="M110" s="74">
        <f t="shared" si="14"/>
        <v>-9.6590909090909061E-2</v>
      </c>
      <c r="N110" s="68">
        <v>8836</v>
      </c>
      <c r="O110" s="74">
        <f t="shared" si="12"/>
        <v>0.30981322265045952</v>
      </c>
    </row>
    <row r="111" spans="1:15" s="152" customFormat="1" ht="13.5" hidden="1" customHeight="1">
      <c r="A111" s="461"/>
      <c r="B111" s="15" t="s">
        <v>28</v>
      </c>
      <c r="C111" s="5">
        <v>1154742</v>
      </c>
      <c r="D111" s="74">
        <f t="shared" si="13"/>
        <v>0.11829779321685588</v>
      </c>
      <c r="E111" s="179"/>
      <c r="F111" s="5">
        <v>4048</v>
      </c>
      <c r="G111" s="9">
        <f t="shared" si="9"/>
        <v>0.12444444444444436</v>
      </c>
      <c r="H111" s="5">
        <v>16400</v>
      </c>
      <c r="I111" s="74">
        <f t="shared" si="10"/>
        <v>1.2345679012345734E-2</v>
      </c>
      <c r="J111" s="5">
        <v>1702</v>
      </c>
      <c r="K111" s="9">
        <f t="shared" si="11"/>
        <v>0.30621642363775892</v>
      </c>
      <c r="L111" s="5">
        <v>364</v>
      </c>
      <c r="M111" s="9">
        <f t="shared" si="14"/>
        <v>-5.9431524547803649E-2</v>
      </c>
      <c r="N111" s="5">
        <v>8105</v>
      </c>
      <c r="O111" s="9">
        <v>0.03</v>
      </c>
    </row>
    <row r="112" spans="1:15" s="152" customFormat="1" ht="13.5" hidden="1" customHeight="1">
      <c r="A112" s="461"/>
      <c r="B112" s="15" t="s">
        <v>29</v>
      </c>
      <c r="C112" s="5">
        <v>1117550</v>
      </c>
      <c r="D112" s="74">
        <f t="shared" si="13"/>
        <v>0.14708161620930865</v>
      </c>
      <c r="E112" s="179"/>
      <c r="F112" s="5">
        <v>4672</v>
      </c>
      <c r="G112" s="9">
        <f t="shared" si="9"/>
        <v>3.180212014134276E-2</v>
      </c>
      <c r="H112" s="5">
        <v>17200</v>
      </c>
      <c r="I112" s="74">
        <f t="shared" si="10"/>
        <v>-1.1494252873563204E-2</v>
      </c>
      <c r="J112" s="5">
        <v>2014</v>
      </c>
      <c r="K112" s="9">
        <f t="shared" si="11"/>
        <v>0.45942028985507255</v>
      </c>
      <c r="L112" s="5">
        <v>464</v>
      </c>
      <c r="M112" s="9">
        <f t="shared" si="14"/>
        <v>-0.10077519379844957</v>
      </c>
      <c r="N112" s="5">
        <v>11833</v>
      </c>
      <c r="O112" s="74">
        <f>(N112/N100-1)</f>
        <v>3.8984985512336534E-2</v>
      </c>
    </row>
    <row r="113" spans="1:15" s="152" customFormat="1" ht="13.5" hidden="1" customHeight="1">
      <c r="A113" s="462"/>
      <c r="B113" s="41" t="s">
        <v>30</v>
      </c>
      <c r="C113" s="5">
        <v>1169970</v>
      </c>
      <c r="D113" s="74">
        <f t="shared" si="13"/>
        <v>0.1463011733722106</v>
      </c>
      <c r="E113" s="179"/>
      <c r="F113" s="5">
        <v>5680</v>
      </c>
      <c r="G113" s="9">
        <f t="shared" si="9"/>
        <v>-5.5851063829787218E-2</v>
      </c>
      <c r="H113" s="5">
        <v>20700</v>
      </c>
      <c r="I113" s="74">
        <f t="shared" si="10"/>
        <v>0</v>
      </c>
      <c r="J113" s="5">
        <v>1826</v>
      </c>
      <c r="K113" s="9">
        <f t="shared" si="11"/>
        <v>1.6703786191536674E-2</v>
      </c>
      <c r="L113" s="5">
        <v>400</v>
      </c>
      <c r="M113" s="9">
        <f t="shared" si="14"/>
        <v>-0.11111111111111116</v>
      </c>
      <c r="N113" s="5">
        <v>12873</v>
      </c>
      <c r="O113" s="85">
        <f>(N113/N101-1)</f>
        <v>0.13468488320846195</v>
      </c>
    </row>
    <row r="114" spans="1:15" s="152" customFormat="1" ht="13.5">
      <c r="A114" s="457" t="s">
        <v>189</v>
      </c>
      <c r="B114" s="2" t="s">
        <v>170</v>
      </c>
      <c r="C114" s="25">
        <v>1425900</v>
      </c>
      <c r="D114" s="24">
        <f t="shared" si="13"/>
        <v>0.18747616136817508</v>
      </c>
      <c r="E114" s="179"/>
      <c r="F114" s="25">
        <v>7536</v>
      </c>
      <c r="G114" s="24">
        <f t="shared" si="9"/>
        <v>-1.4644351464435101E-2</v>
      </c>
      <c r="H114" s="25">
        <v>21300</v>
      </c>
      <c r="I114" s="24">
        <f t="shared" si="10"/>
        <v>0.11518324607329844</v>
      </c>
      <c r="J114" s="25">
        <v>1869</v>
      </c>
      <c r="K114" s="24">
        <f t="shared" si="11"/>
        <v>-8.4880636604774962E-3</v>
      </c>
      <c r="L114" s="25">
        <v>546</v>
      </c>
      <c r="M114" s="24">
        <f t="shared" si="14"/>
        <v>0.4521276595744681</v>
      </c>
      <c r="N114" s="25">
        <v>13241</v>
      </c>
      <c r="O114" s="74">
        <f t="shared" ref="O114:O127" si="15">(N114/N102-1)</f>
        <v>3.7858598526414822E-2</v>
      </c>
    </row>
    <row r="115" spans="1:15" s="152" customFormat="1" ht="13.5">
      <c r="A115" s="461"/>
      <c r="B115" s="15" t="s">
        <v>171</v>
      </c>
      <c r="C115" s="5">
        <v>1184807</v>
      </c>
      <c r="D115" s="9">
        <f t="shared" si="13"/>
        <v>2.9967818042412029E-2</v>
      </c>
      <c r="E115" s="179"/>
      <c r="F115" s="5">
        <v>4080</v>
      </c>
      <c r="G115" s="9">
        <f t="shared" si="9"/>
        <v>-0.2837078651685393</v>
      </c>
      <c r="H115" s="5">
        <v>16400</v>
      </c>
      <c r="I115" s="9">
        <f t="shared" si="10"/>
        <v>-0.22274881516587675</v>
      </c>
      <c r="J115" s="5">
        <v>1243</v>
      </c>
      <c r="K115" s="9">
        <f t="shared" si="11"/>
        <v>-0.31590533847000546</v>
      </c>
      <c r="L115" s="5">
        <v>257</v>
      </c>
      <c r="M115" s="9">
        <f t="shared" si="14"/>
        <v>-0.38809523809523805</v>
      </c>
      <c r="N115" s="5">
        <v>10098</v>
      </c>
      <c r="O115" s="9">
        <f t="shared" si="15"/>
        <v>-0.19454414931801867</v>
      </c>
    </row>
    <row r="116" spans="1:15" s="152" customFormat="1" ht="13.5">
      <c r="A116" s="461"/>
      <c r="B116" s="15" t="s">
        <v>21</v>
      </c>
      <c r="C116" s="5">
        <v>1113946</v>
      </c>
      <c r="D116" s="9">
        <f t="shared" si="13"/>
        <v>9.322715888481499E-2</v>
      </c>
      <c r="E116" s="179"/>
      <c r="F116" s="5">
        <v>5200</v>
      </c>
      <c r="G116" s="9">
        <f t="shared" si="9"/>
        <v>-4.692082111436946E-2</v>
      </c>
      <c r="H116" s="5">
        <v>16300</v>
      </c>
      <c r="I116" s="9">
        <f t="shared" si="10"/>
        <v>-3.5502958579881616E-2</v>
      </c>
      <c r="J116" s="5">
        <v>1419</v>
      </c>
      <c r="K116" s="9">
        <f t="shared" si="11"/>
        <v>0.22012037833190035</v>
      </c>
      <c r="L116" s="5">
        <v>332</v>
      </c>
      <c r="M116" s="9">
        <f t="shared" si="14"/>
        <v>-5.4131054131054124E-2</v>
      </c>
      <c r="N116" s="5">
        <v>9395</v>
      </c>
      <c r="O116" s="9">
        <f t="shared" si="15"/>
        <v>-3.8171986003605607E-3</v>
      </c>
    </row>
    <row r="117" spans="1:15" s="152" customFormat="1" ht="13.5">
      <c r="A117" s="461"/>
      <c r="B117" s="73" t="s">
        <v>22</v>
      </c>
      <c r="C117" s="68">
        <v>1097420</v>
      </c>
      <c r="D117" s="9">
        <f t="shared" si="13"/>
        <v>7.733312390479509E-2</v>
      </c>
      <c r="E117" s="179"/>
      <c r="F117" s="68">
        <v>3808</v>
      </c>
      <c r="G117" s="9">
        <f t="shared" si="9"/>
        <v>4.3859649122806932E-2</v>
      </c>
      <c r="H117" s="68">
        <v>14900</v>
      </c>
      <c r="I117" s="9">
        <f t="shared" si="10"/>
        <v>4.9295774647887258E-2</v>
      </c>
      <c r="J117" s="68">
        <v>1173</v>
      </c>
      <c r="K117" s="9">
        <f t="shared" si="11"/>
        <v>-4.6341463414634188E-2</v>
      </c>
      <c r="L117" s="68">
        <v>354</v>
      </c>
      <c r="M117" s="9">
        <f t="shared" si="14"/>
        <v>0.21232876712328763</v>
      </c>
      <c r="N117" s="68">
        <v>9645</v>
      </c>
      <c r="O117" s="74">
        <f t="shared" si="15"/>
        <v>2.6172997127353881E-2</v>
      </c>
    </row>
    <row r="118" spans="1:15" s="152" customFormat="1" ht="13.5">
      <c r="A118" s="461"/>
      <c r="B118" s="15" t="s">
        <v>23</v>
      </c>
      <c r="C118" s="5">
        <v>1185405</v>
      </c>
      <c r="D118" s="9">
        <f t="shared" si="13"/>
        <v>8.0637221386571853E-2</v>
      </c>
      <c r="E118" s="179"/>
      <c r="F118" s="5">
        <v>2656</v>
      </c>
      <c r="G118" s="9">
        <f t="shared" si="9"/>
        <v>-0.12169312169312174</v>
      </c>
      <c r="H118" s="68">
        <v>13800</v>
      </c>
      <c r="I118" s="9">
        <f t="shared" ref="I118:I125" si="16">(H118/H106-1)</f>
        <v>6.1538461538461542E-2</v>
      </c>
      <c r="J118" s="5">
        <v>1179</v>
      </c>
      <c r="K118" s="9">
        <f t="shared" si="11"/>
        <v>5.0802139037433136E-2</v>
      </c>
      <c r="L118" s="5">
        <v>329</v>
      </c>
      <c r="M118" s="9">
        <f t="shared" si="14"/>
        <v>0.12286689419795227</v>
      </c>
      <c r="N118" s="5">
        <v>11525</v>
      </c>
      <c r="O118" s="74">
        <f t="shared" si="15"/>
        <v>0.27319929297392842</v>
      </c>
    </row>
    <row r="119" spans="1:15" s="152" customFormat="1" ht="13.5">
      <c r="A119" s="461"/>
      <c r="B119" s="73" t="s">
        <v>24</v>
      </c>
      <c r="C119" s="68">
        <v>1221491</v>
      </c>
      <c r="D119" s="9">
        <f t="shared" si="13"/>
        <v>0.10116355486881949</v>
      </c>
      <c r="E119" s="179"/>
      <c r="F119" s="68">
        <v>2896</v>
      </c>
      <c r="G119" s="9">
        <f t="shared" si="9"/>
        <v>0</v>
      </c>
      <c r="H119" s="68">
        <v>14700</v>
      </c>
      <c r="I119" s="9">
        <f t="shared" si="16"/>
        <v>0.11363636363636354</v>
      </c>
      <c r="J119" s="68">
        <v>1183</v>
      </c>
      <c r="K119" s="9">
        <f t="shared" si="11"/>
        <v>-0.31260894828588026</v>
      </c>
      <c r="L119" s="68">
        <v>320</v>
      </c>
      <c r="M119" s="9">
        <f t="shared" si="14"/>
        <v>-0.14666666666666661</v>
      </c>
      <c r="N119" s="68">
        <v>11435</v>
      </c>
      <c r="O119" s="74">
        <f t="shared" si="15"/>
        <v>0.10280644227987268</v>
      </c>
    </row>
    <row r="120" spans="1:15" s="152" customFormat="1" ht="13.5">
      <c r="A120" s="461"/>
      <c r="B120" s="15" t="s">
        <v>25</v>
      </c>
      <c r="C120" s="5">
        <v>1417422</v>
      </c>
      <c r="D120" s="9">
        <f t="shared" si="13"/>
        <v>8.5799337836616321E-2</v>
      </c>
      <c r="E120" s="179"/>
      <c r="F120" s="5">
        <v>3808</v>
      </c>
      <c r="G120" s="9">
        <f t="shared" si="9"/>
        <v>-0.10188679245283017</v>
      </c>
      <c r="H120" s="5">
        <v>15700</v>
      </c>
      <c r="I120" s="9">
        <f t="shared" si="16"/>
        <v>1.2903225806451646E-2</v>
      </c>
      <c r="J120" s="5">
        <v>1275</v>
      </c>
      <c r="K120" s="9">
        <f t="shared" si="11"/>
        <v>-0.17529107373868047</v>
      </c>
      <c r="L120" s="5">
        <v>321</v>
      </c>
      <c r="M120" s="9">
        <f t="shared" si="14"/>
        <v>-0.15748031496062997</v>
      </c>
      <c r="N120" s="5">
        <v>13071</v>
      </c>
      <c r="O120" s="74">
        <f t="shared" si="15"/>
        <v>0.14748485646563081</v>
      </c>
    </row>
    <row r="121" spans="1:15" s="152" customFormat="1" ht="13.5">
      <c r="A121" s="461"/>
      <c r="B121" s="73" t="s">
        <v>26</v>
      </c>
      <c r="C121" s="68">
        <v>1407186</v>
      </c>
      <c r="D121" s="9">
        <f t="shared" si="13"/>
        <v>5.4347541042564687E-2</v>
      </c>
      <c r="E121" s="179"/>
      <c r="F121" s="68">
        <v>2912</v>
      </c>
      <c r="G121" s="9">
        <f t="shared" si="9"/>
        <v>-4.2105263157894757E-2</v>
      </c>
      <c r="H121" s="68">
        <v>15200</v>
      </c>
      <c r="I121" s="9">
        <f t="shared" si="16"/>
        <v>-2.5641025641025661E-2</v>
      </c>
      <c r="J121" s="68">
        <v>1337</v>
      </c>
      <c r="K121" s="9">
        <f t="shared" si="11"/>
        <v>-0.21167452830188682</v>
      </c>
      <c r="L121" s="68">
        <v>352</v>
      </c>
      <c r="M121" s="9">
        <f t="shared" si="14"/>
        <v>-4.8648648648648596E-2</v>
      </c>
      <c r="N121" s="68">
        <v>13389</v>
      </c>
      <c r="O121" s="74">
        <f t="shared" si="15"/>
        <v>4.5199063231850189E-2</v>
      </c>
    </row>
    <row r="122" spans="1:15" s="152" customFormat="1" ht="13.5">
      <c r="A122" s="461"/>
      <c r="B122" s="73" t="s">
        <v>27</v>
      </c>
      <c r="C122" s="68">
        <v>1195238</v>
      </c>
      <c r="D122" s="9">
        <f t="shared" si="13"/>
        <v>0.12789265732385022</v>
      </c>
      <c r="E122" s="179"/>
      <c r="F122" s="68">
        <v>3504</v>
      </c>
      <c r="G122" s="9">
        <f t="shared" si="9"/>
        <v>0.2303370786516854</v>
      </c>
      <c r="H122" s="68">
        <v>16000</v>
      </c>
      <c r="I122" s="9">
        <f t="shared" si="16"/>
        <v>0.15107913669064743</v>
      </c>
      <c r="J122" s="68">
        <v>1756</v>
      </c>
      <c r="K122" s="9">
        <f t="shared" si="11"/>
        <v>7.4584050487664921E-3</v>
      </c>
      <c r="L122" s="68">
        <v>365</v>
      </c>
      <c r="M122" s="9">
        <f t="shared" si="14"/>
        <v>0.14779874213836486</v>
      </c>
      <c r="N122" s="68">
        <v>10848</v>
      </c>
      <c r="O122" s="74">
        <f t="shared" si="15"/>
        <v>0.22770484382073342</v>
      </c>
    </row>
    <row r="123" spans="1:15" s="152" customFormat="1" ht="17.25" customHeight="1">
      <c r="A123" s="461"/>
      <c r="B123" s="15" t="s">
        <v>28</v>
      </c>
      <c r="C123" s="5">
        <v>1239143</v>
      </c>
      <c r="D123" s="9">
        <f t="shared" si="13"/>
        <v>7.3090785647356729E-2</v>
      </c>
      <c r="E123" s="179"/>
      <c r="F123" s="5">
        <v>4224</v>
      </c>
      <c r="G123" s="9">
        <f t="shared" si="9"/>
        <v>4.3478260869565188E-2</v>
      </c>
      <c r="H123" s="5">
        <v>16300</v>
      </c>
      <c r="I123" s="9">
        <f t="shared" si="16"/>
        <v>-6.0975609756097615E-3</v>
      </c>
      <c r="J123" s="5">
        <v>1410</v>
      </c>
      <c r="K123" s="9">
        <f t="shared" si="11"/>
        <v>-0.1715628672150411</v>
      </c>
      <c r="L123" s="5">
        <v>352</v>
      </c>
      <c r="M123" s="9">
        <f t="shared" si="14"/>
        <v>-3.2967032967032961E-2</v>
      </c>
      <c r="N123" s="5">
        <v>11381</v>
      </c>
      <c r="O123" s="74">
        <f t="shared" si="15"/>
        <v>0.4041949413942012</v>
      </c>
    </row>
    <row r="124" spans="1:15" s="152" customFormat="1" ht="13.5">
      <c r="A124" s="461"/>
      <c r="B124" s="15" t="s">
        <v>29</v>
      </c>
      <c r="C124" s="5">
        <v>1154064</v>
      </c>
      <c r="D124" s="9">
        <f t="shared" si="13"/>
        <v>3.2673258467182678E-2</v>
      </c>
      <c r="E124" s="179"/>
      <c r="F124" s="5">
        <v>4832</v>
      </c>
      <c r="G124" s="9">
        <f t="shared" si="9"/>
        <v>3.4246575342465668E-2</v>
      </c>
      <c r="H124" s="5">
        <v>16800</v>
      </c>
      <c r="I124" s="9">
        <f t="shared" si="16"/>
        <v>-2.3255813953488413E-2</v>
      </c>
      <c r="J124" s="5">
        <v>1477</v>
      </c>
      <c r="K124" s="9">
        <f t="shared" si="11"/>
        <v>-0.26663356504468716</v>
      </c>
      <c r="L124" s="5">
        <v>364</v>
      </c>
      <c r="M124" s="9">
        <f t="shared" si="14"/>
        <v>-0.21551724137931039</v>
      </c>
      <c r="N124" s="5">
        <v>12350</v>
      </c>
      <c r="O124" s="74">
        <f t="shared" si="15"/>
        <v>4.3691371587932126E-2</v>
      </c>
    </row>
    <row r="125" spans="1:15" s="152" customFormat="1" ht="13.5">
      <c r="A125" s="462"/>
      <c r="B125" s="41" t="s">
        <v>30</v>
      </c>
      <c r="C125" s="5">
        <v>1204463</v>
      </c>
      <c r="D125" s="9">
        <f t="shared" si="13"/>
        <v>2.9481952528697317E-2</v>
      </c>
      <c r="E125" s="179"/>
      <c r="F125" s="5">
        <v>5536</v>
      </c>
      <c r="G125" s="9">
        <f>(F125/F113-1)</f>
        <v>-2.5352112676056304E-2</v>
      </c>
      <c r="H125" s="5">
        <v>20100</v>
      </c>
      <c r="I125" s="9">
        <f t="shared" si="16"/>
        <v>-2.8985507246376829E-2</v>
      </c>
      <c r="J125" s="5">
        <v>1550</v>
      </c>
      <c r="K125" s="9">
        <f t="shared" si="11"/>
        <v>-0.1511500547645126</v>
      </c>
      <c r="L125" s="5">
        <v>333</v>
      </c>
      <c r="M125" s="9">
        <f t="shared" si="14"/>
        <v>-0.16749999999999998</v>
      </c>
      <c r="N125" s="5">
        <v>13580</v>
      </c>
      <c r="O125" s="74">
        <f t="shared" si="15"/>
        <v>5.4921152800434969E-2</v>
      </c>
    </row>
    <row r="126" spans="1:15" s="152" customFormat="1" ht="13.5">
      <c r="A126" s="457" t="s">
        <v>195</v>
      </c>
      <c r="B126" s="2" t="s">
        <v>170</v>
      </c>
      <c r="C126" s="25">
        <v>1468903</v>
      </c>
      <c r="D126" s="24">
        <f>(C126-C114)/C114</f>
        <v>3.0158496388246019E-2</v>
      </c>
      <c r="E126" s="179"/>
      <c r="F126" s="25">
        <v>8080</v>
      </c>
      <c r="G126" s="24">
        <f>(F126-F114)/F114</f>
        <v>7.2186836518046707E-2</v>
      </c>
      <c r="H126" s="25">
        <v>22000</v>
      </c>
      <c r="I126" s="24">
        <f t="shared" ref="I126:I131" si="17">(H126-H114)/H114</f>
        <v>3.2863849765258218E-2</v>
      </c>
      <c r="J126" s="25">
        <v>1723</v>
      </c>
      <c r="K126" s="24">
        <f>(J126-J114)/J114</f>
        <v>-7.811663991439273E-2</v>
      </c>
      <c r="L126" s="25">
        <v>410</v>
      </c>
      <c r="M126" s="24">
        <f t="shared" ref="M126:O157" si="18">(L126-L114)/L114</f>
        <v>-0.24908424908424909</v>
      </c>
      <c r="N126" s="25">
        <v>13829</v>
      </c>
      <c r="O126" s="24">
        <f t="shared" si="15"/>
        <v>4.4407522090476492E-2</v>
      </c>
    </row>
    <row r="127" spans="1:15" s="152" customFormat="1" ht="13.5">
      <c r="A127" s="461"/>
      <c r="B127" s="15" t="s">
        <v>171</v>
      </c>
      <c r="C127" s="3">
        <v>1312683</v>
      </c>
      <c r="D127" s="9">
        <f t="shared" ref="D127:D137" si="19">C127/C115-1</f>
        <v>0.10792981472931884</v>
      </c>
      <c r="E127" s="179"/>
      <c r="F127" s="5">
        <v>5376</v>
      </c>
      <c r="G127" s="9">
        <f t="shared" ref="G127:G148" si="20">F127/F115-1</f>
        <v>0.31764705882352939</v>
      </c>
      <c r="H127" s="5">
        <v>18700</v>
      </c>
      <c r="I127" s="9">
        <f t="shared" si="17"/>
        <v>0.1402439024390244</v>
      </c>
      <c r="J127" s="5">
        <v>1169</v>
      </c>
      <c r="K127" s="9">
        <f>(J127-J115)/J115</f>
        <v>-5.9533386967015288E-2</v>
      </c>
      <c r="L127" s="5">
        <v>376</v>
      </c>
      <c r="M127" s="9">
        <f t="shared" si="18"/>
        <v>0.46303501945525294</v>
      </c>
      <c r="N127" s="5">
        <v>11053</v>
      </c>
      <c r="O127" s="9">
        <f t="shared" si="15"/>
        <v>9.4573182808476819E-2</v>
      </c>
    </row>
    <row r="128" spans="1:15" s="152" customFormat="1" ht="13.5">
      <c r="A128" s="461"/>
      <c r="B128" s="15" t="s">
        <v>21</v>
      </c>
      <c r="C128" s="3">
        <v>1150959</v>
      </c>
      <c r="D128" s="9">
        <f t="shared" si="19"/>
        <v>3.3226924824004023E-2</v>
      </c>
      <c r="E128" s="179"/>
      <c r="F128" s="5">
        <v>5312</v>
      </c>
      <c r="G128" s="9">
        <f t="shared" si="20"/>
        <v>2.1538461538461506E-2</v>
      </c>
      <c r="H128" s="5">
        <v>16300</v>
      </c>
      <c r="I128" s="9">
        <f t="shared" si="17"/>
        <v>0</v>
      </c>
      <c r="J128" s="5">
        <v>1138</v>
      </c>
      <c r="K128" s="9">
        <f>(J128-J116)/J116</f>
        <v>-0.19802677942212826</v>
      </c>
      <c r="L128" s="5">
        <v>367</v>
      </c>
      <c r="M128" s="9">
        <f t="shared" si="18"/>
        <v>0.10542168674698796</v>
      </c>
      <c r="N128" s="5">
        <v>10732</v>
      </c>
      <c r="O128" s="9">
        <f t="shared" si="18"/>
        <v>0.14230973922299095</v>
      </c>
    </row>
    <row r="129" spans="1:15" s="152" customFormat="1" ht="13.5">
      <c r="A129" s="461"/>
      <c r="B129" s="73" t="s">
        <v>22</v>
      </c>
      <c r="C129" s="3">
        <v>1179885</v>
      </c>
      <c r="D129" s="9">
        <f t="shared" si="19"/>
        <v>7.514442966229895E-2</v>
      </c>
      <c r="E129" s="179"/>
      <c r="F129" s="68">
        <v>3696</v>
      </c>
      <c r="G129" s="9">
        <f t="shared" si="20"/>
        <v>-2.9411764705882359E-2</v>
      </c>
      <c r="H129" s="68">
        <v>14800</v>
      </c>
      <c r="I129" s="9">
        <f t="shared" si="17"/>
        <v>-6.7114093959731542E-3</v>
      </c>
      <c r="J129" s="68">
        <v>870</v>
      </c>
      <c r="K129" s="9">
        <f>(J129-J117)/J117</f>
        <v>-0.25831202046035806</v>
      </c>
      <c r="L129" s="68">
        <v>400</v>
      </c>
      <c r="M129" s="9">
        <f t="shared" si="18"/>
        <v>0.12994350282485875</v>
      </c>
      <c r="N129" s="68">
        <v>9339</v>
      </c>
      <c r="O129" s="9">
        <f t="shared" si="18"/>
        <v>-3.1726283048211505E-2</v>
      </c>
    </row>
    <row r="130" spans="1:15" s="152" customFormat="1" ht="13.5">
      <c r="A130" s="461"/>
      <c r="B130" s="15" t="s">
        <v>23</v>
      </c>
      <c r="C130" s="3">
        <v>1223003</v>
      </c>
      <c r="D130" s="9">
        <f t="shared" si="19"/>
        <v>3.1717429907921701E-2</v>
      </c>
      <c r="E130" s="179"/>
      <c r="F130" s="5">
        <v>3184</v>
      </c>
      <c r="G130" s="9">
        <f t="shared" si="20"/>
        <v>0.1987951807228916</v>
      </c>
      <c r="H130" s="5">
        <v>14800</v>
      </c>
      <c r="I130" s="9">
        <f t="shared" si="17"/>
        <v>7.2463768115942032E-2</v>
      </c>
      <c r="J130" s="68"/>
      <c r="K130" s="9"/>
      <c r="L130" s="5">
        <v>534</v>
      </c>
      <c r="M130" s="9">
        <f t="shared" si="18"/>
        <v>0.62310030395136773</v>
      </c>
      <c r="N130" s="5">
        <v>9075</v>
      </c>
      <c r="O130" s="9">
        <f t="shared" si="18"/>
        <v>-0.21258134490238612</v>
      </c>
    </row>
    <row r="131" spans="1:15" s="152" customFormat="1" ht="13.5">
      <c r="A131" s="461"/>
      <c r="B131" s="73" t="s">
        <v>24</v>
      </c>
      <c r="C131" s="3">
        <v>1270439</v>
      </c>
      <c r="D131" s="9">
        <f t="shared" si="19"/>
        <v>4.0072337823201298E-2</v>
      </c>
      <c r="E131" s="179"/>
      <c r="F131" s="68">
        <v>2608</v>
      </c>
      <c r="G131" s="9">
        <f t="shared" si="20"/>
        <v>-9.9447513812154664E-2</v>
      </c>
      <c r="H131" s="68">
        <v>12700</v>
      </c>
      <c r="I131" s="9">
        <f t="shared" si="17"/>
        <v>-0.1360544217687075</v>
      </c>
      <c r="J131" s="68"/>
      <c r="K131" s="9"/>
      <c r="L131" s="68">
        <v>460</v>
      </c>
      <c r="M131" s="9">
        <f t="shared" si="18"/>
        <v>0.4375</v>
      </c>
      <c r="N131" s="68">
        <v>9465</v>
      </c>
      <c r="O131" s="9">
        <f t="shared" si="18"/>
        <v>-0.17227809357236554</v>
      </c>
    </row>
    <row r="132" spans="1:15" s="152" customFormat="1" ht="13.5">
      <c r="A132" s="461"/>
      <c r="B132" s="15" t="s">
        <v>25</v>
      </c>
      <c r="C132" s="3">
        <v>1454795</v>
      </c>
      <c r="D132" s="9">
        <f t="shared" si="19"/>
        <v>2.6366882974865558E-2</v>
      </c>
      <c r="E132" s="179"/>
      <c r="F132" s="5">
        <v>3904</v>
      </c>
      <c r="G132" s="9">
        <f t="shared" si="20"/>
        <v>2.5210084033613356E-2</v>
      </c>
      <c r="H132" s="5">
        <v>15600</v>
      </c>
      <c r="I132" s="9">
        <f t="shared" ref="I132:I148" si="21">(H132-H120)/H120</f>
        <v>-6.369426751592357E-3</v>
      </c>
      <c r="J132" s="5"/>
      <c r="K132" s="9"/>
      <c r="L132" s="5">
        <v>471</v>
      </c>
      <c r="M132" s="9">
        <f t="shared" si="18"/>
        <v>0.46728971962616822</v>
      </c>
      <c r="N132" s="5">
        <v>10099</v>
      </c>
      <c r="O132" s="9">
        <f t="shared" si="18"/>
        <v>-0.22737357508989367</v>
      </c>
    </row>
    <row r="133" spans="1:15" s="152" customFormat="1" ht="13.5">
      <c r="A133" s="461"/>
      <c r="B133" s="73" t="s">
        <v>26</v>
      </c>
      <c r="C133" s="3">
        <v>1547193</v>
      </c>
      <c r="D133" s="9">
        <f t="shared" si="19"/>
        <v>9.9494309920650226E-2</v>
      </c>
      <c r="E133" s="179"/>
      <c r="F133" s="68">
        <v>3200</v>
      </c>
      <c r="G133" s="9">
        <f t="shared" si="20"/>
        <v>9.8901098901098994E-2</v>
      </c>
      <c r="H133" s="68">
        <v>16500</v>
      </c>
      <c r="I133" s="9">
        <f t="shared" si="21"/>
        <v>8.5526315789473686E-2</v>
      </c>
      <c r="J133" s="68"/>
      <c r="K133" s="9"/>
      <c r="L133" s="68">
        <v>317</v>
      </c>
      <c r="M133" s="9">
        <f t="shared" si="18"/>
        <v>-9.9431818181818177E-2</v>
      </c>
      <c r="N133" s="68">
        <v>10618</v>
      </c>
      <c r="O133" s="9">
        <f t="shared" si="18"/>
        <v>-0.20696093808350138</v>
      </c>
    </row>
    <row r="134" spans="1:15" s="152" customFormat="1" ht="13.5">
      <c r="A134" s="461"/>
      <c r="B134" s="73" t="s">
        <v>27</v>
      </c>
      <c r="C134" s="3">
        <v>1321293</v>
      </c>
      <c r="D134" s="9">
        <f t="shared" si="19"/>
        <v>0.10546435103301599</v>
      </c>
      <c r="E134" s="179"/>
      <c r="F134" s="68">
        <v>3520</v>
      </c>
      <c r="G134" s="9">
        <f t="shared" si="20"/>
        <v>4.5662100456620447E-3</v>
      </c>
      <c r="H134" s="68">
        <v>15600</v>
      </c>
      <c r="I134" s="9">
        <f t="shared" si="21"/>
        <v>-2.5000000000000001E-2</v>
      </c>
      <c r="J134" s="68"/>
      <c r="K134" s="9"/>
      <c r="L134" s="68">
        <v>470</v>
      </c>
      <c r="M134" s="9">
        <f t="shared" si="18"/>
        <v>0.28767123287671231</v>
      </c>
      <c r="N134" s="68">
        <v>9602</v>
      </c>
      <c r="O134" s="9">
        <f t="shared" si="18"/>
        <v>-0.11485988200589971</v>
      </c>
    </row>
    <row r="135" spans="1:15" s="152" customFormat="1" ht="13.5">
      <c r="A135" s="461"/>
      <c r="B135" s="15" t="s">
        <v>28</v>
      </c>
      <c r="C135" s="371">
        <v>1432100</v>
      </c>
      <c r="D135" s="9">
        <f t="shared" si="19"/>
        <v>0.15571810517430196</v>
      </c>
      <c r="E135" s="179"/>
      <c r="F135" s="5">
        <v>4400</v>
      </c>
      <c r="G135" s="9">
        <f t="shared" si="20"/>
        <v>4.1666666666666741E-2</v>
      </c>
      <c r="H135" s="5">
        <v>15900</v>
      </c>
      <c r="I135" s="221">
        <f t="shared" si="21"/>
        <v>-2.4539877300613498E-2</v>
      </c>
      <c r="J135" s="5"/>
      <c r="K135" s="9"/>
      <c r="L135" s="5">
        <v>591</v>
      </c>
      <c r="M135" s="9">
        <f t="shared" si="18"/>
        <v>0.67897727272727271</v>
      </c>
      <c r="N135" s="5">
        <v>12557</v>
      </c>
      <c r="O135" s="9">
        <f t="shared" si="18"/>
        <v>0.10333011158949126</v>
      </c>
    </row>
    <row r="136" spans="1:15" s="152" customFormat="1" ht="13.5">
      <c r="A136" s="461"/>
      <c r="B136" s="15" t="s">
        <v>29</v>
      </c>
      <c r="C136" s="371">
        <v>1288754</v>
      </c>
      <c r="D136" s="9">
        <f t="shared" si="19"/>
        <v>0.11670929861775425</v>
      </c>
      <c r="E136" s="179"/>
      <c r="F136" s="5">
        <v>5456</v>
      </c>
      <c r="G136" s="9">
        <f t="shared" si="20"/>
        <v>0.12913907284768222</v>
      </c>
      <c r="H136" s="5">
        <v>18000</v>
      </c>
      <c r="I136" s="221">
        <f t="shared" si="21"/>
        <v>7.1428571428571425E-2</v>
      </c>
      <c r="J136" s="5"/>
      <c r="K136" s="9"/>
      <c r="L136" s="5">
        <v>569</v>
      </c>
      <c r="M136" s="9">
        <f t="shared" si="18"/>
        <v>0.56318681318681318</v>
      </c>
      <c r="N136" s="5">
        <v>16227</v>
      </c>
      <c r="O136" s="9">
        <f t="shared" si="18"/>
        <v>0.31392712550607288</v>
      </c>
    </row>
    <row r="137" spans="1:15" s="152" customFormat="1" ht="13.5">
      <c r="A137" s="462"/>
      <c r="B137" s="41" t="s">
        <v>30</v>
      </c>
      <c r="C137" s="371">
        <v>1430677</v>
      </c>
      <c r="D137" s="9">
        <f t="shared" si="19"/>
        <v>0.18781315822901989</v>
      </c>
      <c r="E137" s="179"/>
      <c r="F137" s="5">
        <v>6752</v>
      </c>
      <c r="G137" s="207">
        <f t="shared" si="20"/>
        <v>0.21965317919075145</v>
      </c>
      <c r="H137" s="5">
        <v>23600</v>
      </c>
      <c r="I137" s="228">
        <f t="shared" si="21"/>
        <v>0.17412935323383086</v>
      </c>
      <c r="J137" s="5"/>
      <c r="K137" s="9"/>
      <c r="L137" s="5">
        <v>711</v>
      </c>
      <c r="M137" s="188">
        <f t="shared" si="18"/>
        <v>1.1351351351351351</v>
      </c>
      <c r="N137" s="100">
        <v>19485</v>
      </c>
      <c r="O137" s="265">
        <f t="shared" si="18"/>
        <v>0.43483063328424154</v>
      </c>
    </row>
    <row r="138" spans="1:15" s="152" customFormat="1" ht="13.5">
      <c r="A138" s="457" t="s">
        <v>191</v>
      </c>
      <c r="B138" s="2" t="s">
        <v>170</v>
      </c>
      <c r="C138" s="367">
        <v>1834538</v>
      </c>
      <c r="D138" s="24">
        <f t="shared" ref="D138:D149" si="22">(C138-C126)/C126</f>
        <v>0.24891704898145078</v>
      </c>
      <c r="E138" s="179"/>
      <c r="F138" s="25">
        <v>10112</v>
      </c>
      <c r="G138" s="206">
        <f t="shared" si="20"/>
        <v>0.25148514851485149</v>
      </c>
      <c r="H138" s="25">
        <v>24500</v>
      </c>
      <c r="I138" s="227">
        <f t="shared" si="21"/>
        <v>0.11363636363636363</v>
      </c>
      <c r="J138" s="25"/>
      <c r="K138" s="24"/>
      <c r="L138" s="25">
        <v>561</v>
      </c>
      <c r="M138" s="187">
        <f t="shared" si="18"/>
        <v>0.36829268292682926</v>
      </c>
      <c r="N138" s="25">
        <v>21145</v>
      </c>
      <c r="O138" s="398">
        <f t="shared" si="18"/>
        <v>0.52903319112010994</v>
      </c>
    </row>
    <row r="139" spans="1:15" s="152" customFormat="1" ht="13.5">
      <c r="A139" s="461"/>
      <c r="B139" s="15" t="s">
        <v>171</v>
      </c>
      <c r="C139" s="371">
        <v>1445609</v>
      </c>
      <c r="D139" s="196">
        <f t="shared" si="22"/>
        <v>0.10126283344874581</v>
      </c>
      <c r="E139" s="179"/>
      <c r="F139" s="5">
        <v>6000</v>
      </c>
      <c r="G139" s="206">
        <f t="shared" si="20"/>
        <v>0.1160714285714286</v>
      </c>
      <c r="H139" s="3">
        <v>21000</v>
      </c>
      <c r="I139" s="227">
        <f t="shared" si="21"/>
        <v>0.12299465240641712</v>
      </c>
      <c r="J139" s="3"/>
      <c r="K139" s="9"/>
      <c r="L139" s="7">
        <v>371</v>
      </c>
      <c r="M139" s="206">
        <f t="shared" si="18"/>
        <v>-1.3297872340425532E-2</v>
      </c>
      <c r="N139" s="3">
        <v>13536</v>
      </c>
      <c r="O139" s="398">
        <f t="shared" si="18"/>
        <v>0.22464489278928798</v>
      </c>
    </row>
    <row r="140" spans="1:15" s="152" customFormat="1" ht="13.5">
      <c r="A140" s="461"/>
      <c r="B140" s="15" t="s">
        <v>21</v>
      </c>
      <c r="C140" s="371">
        <v>1416683</v>
      </c>
      <c r="D140" s="219">
        <f t="shared" si="22"/>
        <v>0.23087182080334748</v>
      </c>
      <c r="E140" s="179"/>
      <c r="F140" s="5">
        <v>6352</v>
      </c>
      <c r="G140" s="219">
        <f t="shared" si="20"/>
        <v>0.19578313253012047</v>
      </c>
      <c r="H140" s="3">
        <v>19200</v>
      </c>
      <c r="I140" s="232">
        <f t="shared" si="21"/>
        <v>0.17791411042944785</v>
      </c>
      <c r="J140" s="3"/>
      <c r="K140" s="9"/>
      <c r="L140" s="7">
        <v>850</v>
      </c>
      <c r="M140" s="219">
        <f t="shared" si="18"/>
        <v>1.3160762942779292</v>
      </c>
      <c r="N140" s="98">
        <v>14989</v>
      </c>
      <c r="O140" s="398">
        <f t="shared" si="18"/>
        <v>0.39666418188594854</v>
      </c>
    </row>
    <row r="141" spans="1:15" s="152" customFormat="1" ht="13.5">
      <c r="A141" s="461"/>
      <c r="B141" s="73" t="s">
        <v>22</v>
      </c>
      <c r="C141" s="371">
        <v>1495460</v>
      </c>
      <c r="D141" s="221">
        <f t="shared" si="22"/>
        <v>0.26746250693923562</v>
      </c>
      <c r="E141" s="179"/>
      <c r="F141" s="5">
        <v>4416</v>
      </c>
      <c r="G141" s="221">
        <f t="shared" si="20"/>
        <v>0.19480519480519476</v>
      </c>
      <c r="H141" s="3">
        <v>16700</v>
      </c>
      <c r="I141" s="232">
        <f t="shared" si="21"/>
        <v>0.12837837837837837</v>
      </c>
      <c r="J141" s="3"/>
      <c r="K141" s="9"/>
      <c r="L141" s="7">
        <v>474</v>
      </c>
      <c r="M141" s="221">
        <f t="shared" si="18"/>
        <v>0.185</v>
      </c>
      <c r="N141" s="98">
        <v>17359</v>
      </c>
      <c r="O141" s="398">
        <f t="shared" si="18"/>
        <v>0.85876432166184813</v>
      </c>
    </row>
    <row r="142" spans="1:15" s="152" customFormat="1" ht="13.5">
      <c r="A142" s="461"/>
      <c r="B142" s="15" t="s">
        <v>23</v>
      </c>
      <c r="C142" s="371">
        <v>1579265</v>
      </c>
      <c r="D142" s="225">
        <f t="shared" si="22"/>
        <v>0.29130100253229141</v>
      </c>
      <c r="E142" s="179"/>
      <c r="F142" s="5">
        <v>3584</v>
      </c>
      <c r="G142" s="227">
        <f t="shared" si="20"/>
        <v>0.12562814070351758</v>
      </c>
      <c r="H142" s="3">
        <v>16100</v>
      </c>
      <c r="I142" s="232">
        <f t="shared" si="21"/>
        <v>8.7837837837837843E-2</v>
      </c>
      <c r="J142" s="3"/>
      <c r="K142" s="9"/>
      <c r="L142" s="7">
        <v>502</v>
      </c>
      <c r="M142" s="227">
        <f t="shared" si="18"/>
        <v>-5.9925093632958802E-2</v>
      </c>
      <c r="N142" s="98">
        <v>16237</v>
      </c>
      <c r="O142" s="398">
        <f t="shared" si="18"/>
        <v>0.78920110192837467</v>
      </c>
    </row>
    <row r="143" spans="1:15" s="152" customFormat="1" ht="13.5">
      <c r="A143" s="461"/>
      <c r="B143" s="73" t="s">
        <v>24</v>
      </c>
      <c r="C143" s="371">
        <v>1373551</v>
      </c>
      <c r="D143" s="231">
        <f t="shared" si="22"/>
        <v>8.116249579869636E-2</v>
      </c>
      <c r="E143" s="179"/>
      <c r="F143" s="5">
        <v>2912</v>
      </c>
      <c r="G143" s="232">
        <f t="shared" si="20"/>
        <v>0.1165644171779141</v>
      </c>
      <c r="H143" s="3">
        <v>12700</v>
      </c>
      <c r="I143" s="263">
        <f t="shared" si="21"/>
        <v>0</v>
      </c>
      <c r="J143" s="3"/>
      <c r="K143" s="9"/>
      <c r="L143" s="7">
        <v>496</v>
      </c>
      <c r="M143" s="238">
        <f t="shared" si="18"/>
        <v>7.8260869565217397E-2</v>
      </c>
      <c r="N143" s="3">
        <v>13985</v>
      </c>
      <c r="O143" s="398">
        <f t="shared" si="18"/>
        <v>0.47754886423666137</v>
      </c>
    </row>
    <row r="144" spans="1:15" s="152" customFormat="1" ht="13.5">
      <c r="A144" s="461"/>
      <c r="B144" s="15" t="s">
        <v>25</v>
      </c>
      <c r="C144" s="371">
        <v>1675332</v>
      </c>
      <c r="D144" s="266">
        <f t="shared" si="22"/>
        <v>0.1515931797950914</v>
      </c>
      <c r="E144" s="179"/>
      <c r="F144" s="5">
        <v>3936</v>
      </c>
      <c r="G144" s="263">
        <f t="shared" si="20"/>
        <v>8.1967213114753079E-3</v>
      </c>
      <c r="H144" s="3">
        <v>15900</v>
      </c>
      <c r="I144" s="266">
        <f t="shared" si="21"/>
        <v>1.9230769230769232E-2</v>
      </c>
      <c r="J144" s="3"/>
      <c r="K144" s="9"/>
      <c r="L144" s="7">
        <v>520</v>
      </c>
      <c r="M144" s="264">
        <f t="shared" si="18"/>
        <v>0.1040339702760085</v>
      </c>
      <c r="N144" s="3">
        <v>15321</v>
      </c>
      <c r="O144" s="398">
        <f t="shared" si="18"/>
        <v>0.51708089909892063</v>
      </c>
    </row>
    <row r="145" spans="1:33" s="152" customFormat="1" ht="13.5">
      <c r="A145" s="461"/>
      <c r="B145" s="73" t="s">
        <v>26</v>
      </c>
      <c r="C145" s="371">
        <v>1835249</v>
      </c>
      <c r="D145" s="266">
        <f t="shared" si="22"/>
        <v>0.18617974615965815</v>
      </c>
      <c r="E145" s="179"/>
      <c r="F145" s="5">
        <v>3296</v>
      </c>
      <c r="G145" s="266">
        <f t="shared" si="20"/>
        <v>3.0000000000000027E-2</v>
      </c>
      <c r="H145" s="3">
        <v>16700</v>
      </c>
      <c r="I145" s="267">
        <f t="shared" si="21"/>
        <v>1.2121212121212121E-2</v>
      </c>
      <c r="J145" s="3"/>
      <c r="K145" s="9"/>
      <c r="L145" s="7">
        <v>327</v>
      </c>
      <c r="M145" s="266">
        <f t="shared" si="18"/>
        <v>3.1545741324921134E-2</v>
      </c>
      <c r="N145" s="3">
        <v>8479</v>
      </c>
      <c r="O145" s="398">
        <f t="shared" si="18"/>
        <v>-0.20145036730080995</v>
      </c>
    </row>
    <row r="146" spans="1:33" s="152" customFormat="1" ht="13.5">
      <c r="A146" s="461"/>
      <c r="B146" s="73" t="s">
        <v>27</v>
      </c>
      <c r="C146" s="371">
        <v>1511657</v>
      </c>
      <c r="D146" s="267">
        <f t="shared" si="22"/>
        <v>0.14407402445937426</v>
      </c>
      <c r="E146" s="179"/>
      <c r="F146" s="5">
        <v>3200</v>
      </c>
      <c r="G146" s="267">
        <f t="shared" si="20"/>
        <v>-9.0909090909090939E-2</v>
      </c>
      <c r="H146" s="3">
        <v>15500</v>
      </c>
      <c r="I146" s="270">
        <f t="shared" si="21"/>
        <v>-6.41025641025641E-3</v>
      </c>
      <c r="J146" s="3"/>
      <c r="K146" s="9"/>
      <c r="L146" s="7">
        <v>538</v>
      </c>
      <c r="M146" s="267">
        <f t="shared" si="18"/>
        <v>0.14468085106382977</v>
      </c>
      <c r="N146" s="3">
        <v>12632</v>
      </c>
      <c r="O146" s="398">
        <f t="shared" si="18"/>
        <v>0.31555925848781502</v>
      </c>
    </row>
    <row r="147" spans="1:33" s="152" customFormat="1" ht="13.5">
      <c r="A147" s="461"/>
      <c r="B147" s="15" t="s">
        <v>28</v>
      </c>
      <c r="C147" s="371">
        <v>1735308</v>
      </c>
      <c r="D147" s="39">
        <f t="shared" si="22"/>
        <v>0.21172264506668528</v>
      </c>
      <c r="E147" s="179"/>
      <c r="F147" s="5">
        <v>5264</v>
      </c>
      <c r="G147" s="270">
        <f t="shared" si="20"/>
        <v>0.1963636363636363</v>
      </c>
      <c r="H147" s="3">
        <v>18800</v>
      </c>
      <c r="I147" s="274">
        <f t="shared" si="21"/>
        <v>0.18238993710691823</v>
      </c>
      <c r="J147" s="3"/>
      <c r="K147" s="9"/>
      <c r="L147" s="7">
        <v>637</v>
      </c>
      <c r="M147" s="270">
        <f t="shared" si="18"/>
        <v>7.7834179357021999E-2</v>
      </c>
      <c r="N147" s="3">
        <v>14370</v>
      </c>
      <c r="O147" s="398">
        <f t="shared" si="18"/>
        <v>0.14438161981364975</v>
      </c>
    </row>
    <row r="148" spans="1:33" s="152" customFormat="1" ht="13.5">
      <c r="A148" s="461"/>
      <c r="B148" s="15" t="s">
        <v>29</v>
      </c>
      <c r="C148" s="371">
        <v>1626063</v>
      </c>
      <c r="D148" s="39">
        <f t="shared" si="22"/>
        <v>0.26173265029633275</v>
      </c>
      <c r="E148" s="179"/>
      <c r="F148" s="5">
        <v>6880</v>
      </c>
      <c r="G148" s="275">
        <f t="shared" si="20"/>
        <v>0.26099706744868034</v>
      </c>
      <c r="H148" s="3">
        <v>22800</v>
      </c>
      <c r="I148" s="284">
        <f t="shared" si="21"/>
        <v>0.26666666666666666</v>
      </c>
      <c r="J148" s="3"/>
      <c r="K148" s="9"/>
      <c r="L148" s="7">
        <v>781</v>
      </c>
      <c r="M148" s="275">
        <f t="shared" si="18"/>
        <v>0.37258347978910367</v>
      </c>
      <c r="N148" s="3">
        <v>16848</v>
      </c>
      <c r="O148" s="398">
        <f t="shared" si="18"/>
        <v>3.8269550748752081E-2</v>
      </c>
    </row>
    <row r="149" spans="1:33" s="168" customFormat="1" ht="13.5">
      <c r="A149" s="461"/>
      <c r="B149" s="294" t="s">
        <v>30</v>
      </c>
      <c r="C149" s="372">
        <v>1781715</v>
      </c>
      <c r="D149" s="39">
        <f t="shared" si="22"/>
        <v>0.2453649565904813</v>
      </c>
      <c r="E149" s="179"/>
      <c r="F149" s="5">
        <v>9040</v>
      </c>
      <c r="G149" s="287">
        <f t="shared" ref="G149:G161" si="23">F149/F137-1</f>
        <v>0.33886255924170605</v>
      </c>
      <c r="H149" s="3">
        <v>30100</v>
      </c>
      <c r="I149" s="287">
        <f t="shared" ref="I149:I160" si="24">H149/H137-1</f>
        <v>0.27542372881355925</v>
      </c>
      <c r="J149" s="3"/>
      <c r="K149" s="287"/>
      <c r="L149" s="7">
        <v>643</v>
      </c>
      <c r="M149" s="282">
        <f t="shared" si="18"/>
        <v>-9.5639943741209557E-2</v>
      </c>
      <c r="N149" s="3">
        <v>17721</v>
      </c>
      <c r="O149" s="398">
        <f t="shared" si="18"/>
        <v>-9.0531177829099307E-2</v>
      </c>
    </row>
    <row r="150" spans="1:33" s="168" customFormat="1" ht="13.5">
      <c r="A150" s="457" t="s">
        <v>219</v>
      </c>
      <c r="B150" s="326" t="s">
        <v>220</v>
      </c>
      <c r="C150" s="327">
        <v>2112337</v>
      </c>
      <c r="D150" s="290">
        <f t="shared" ref="D150:D154" si="25">C150/C138-1</f>
        <v>0.15142722581925261</v>
      </c>
      <c r="E150" s="300"/>
      <c r="F150" s="25">
        <v>12752</v>
      </c>
      <c r="G150" s="308">
        <f t="shared" si="23"/>
        <v>0.26107594936708867</v>
      </c>
      <c r="H150" s="23">
        <v>28700</v>
      </c>
      <c r="I150" s="308">
        <f t="shared" si="24"/>
        <v>0.17142857142857149</v>
      </c>
      <c r="J150" s="23"/>
      <c r="K150" s="308"/>
      <c r="L150" s="27">
        <v>650</v>
      </c>
      <c r="M150" s="286">
        <f t="shared" si="18"/>
        <v>0.1586452762923351</v>
      </c>
      <c r="N150" s="23">
        <v>17125</v>
      </c>
      <c r="O150" s="399">
        <f t="shared" si="18"/>
        <v>-0.19011586663513833</v>
      </c>
    </row>
    <row r="151" spans="1:33" s="168" customFormat="1" ht="13.5">
      <c r="A151" s="461"/>
      <c r="B151" s="294" t="s">
        <v>223</v>
      </c>
      <c r="C151" s="312">
        <v>1876928</v>
      </c>
      <c r="D151" s="384">
        <f t="shared" si="25"/>
        <v>0.29836491056710357</v>
      </c>
      <c r="E151" s="179"/>
      <c r="F151" s="5">
        <v>8800</v>
      </c>
      <c r="G151" s="309">
        <f t="shared" si="23"/>
        <v>0.46666666666666656</v>
      </c>
      <c r="H151" s="3">
        <v>28500</v>
      </c>
      <c r="I151" s="309">
        <f t="shared" si="24"/>
        <v>0.35714285714285721</v>
      </c>
      <c r="J151" s="3"/>
      <c r="K151" s="309"/>
      <c r="L151" s="7">
        <v>503</v>
      </c>
      <c r="M151" s="309">
        <f t="shared" ref="M151:M161" si="26">(L151-L139)/L139</f>
        <v>0.35579514824797842</v>
      </c>
      <c r="N151" s="3">
        <v>13638</v>
      </c>
      <c r="O151" s="398">
        <f t="shared" si="18"/>
        <v>7.535460992907801E-3</v>
      </c>
    </row>
    <row r="152" spans="1:33" s="168" customFormat="1" ht="13.5">
      <c r="A152" s="461"/>
      <c r="B152" s="102" t="s">
        <v>224</v>
      </c>
      <c r="C152" s="336">
        <v>1569162</v>
      </c>
      <c r="D152" s="250">
        <f t="shared" si="25"/>
        <v>0.1076309943720648</v>
      </c>
      <c r="E152" s="179"/>
      <c r="F152" s="5">
        <v>7328</v>
      </c>
      <c r="G152" s="322">
        <f t="shared" si="23"/>
        <v>0.1536523929471032</v>
      </c>
      <c r="H152" s="3">
        <v>24700</v>
      </c>
      <c r="I152" s="348">
        <f t="shared" si="24"/>
        <v>0.28645833333333326</v>
      </c>
      <c r="J152" s="3"/>
      <c r="K152" s="322"/>
      <c r="L152" s="7">
        <v>680</v>
      </c>
      <c r="M152" s="322">
        <f t="shared" si="26"/>
        <v>-0.2</v>
      </c>
      <c r="N152" s="3">
        <v>12743</v>
      </c>
      <c r="O152" s="398">
        <f t="shared" si="18"/>
        <v>-0.14984321836013076</v>
      </c>
    </row>
    <row r="153" spans="1:33" s="168" customFormat="1" ht="13.5">
      <c r="A153" s="461"/>
      <c r="B153" s="102" t="s">
        <v>225</v>
      </c>
      <c r="C153" s="336">
        <v>1636597</v>
      </c>
      <c r="D153" s="250">
        <f t="shared" si="25"/>
        <v>9.4376980995813931E-2</v>
      </c>
      <c r="E153" s="179"/>
      <c r="F153" s="5">
        <v>3696</v>
      </c>
      <c r="G153" s="348">
        <f t="shared" si="23"/>
        <v>-0.16304347826086951</v>
      </c>
      <c r="H153" s="3">
        <v>21100</v>
      </c>
      <c r="I153" s="358">
        <f t="shared" si="24"/>
        <v>0.26347305389221565</v>
      </c>
      <c r="J153" s="3"/>
      <c r="K153" s="341"/>
      <c r="L153" s="7">
        <v>596</v>
      </c>
      <c r="M153" s="341">
        <f t="shared" si="26"/>
        <v>0.25738396624472576</v>
      </c>
      <c r="N153" s="3">
        <v>13564</v>
      </c>
      <c r="O153" s="398">
        <f t="shared" si="18"/>
        <v>-0.21861858401981682</v>
      </c>
    </row>
    <row r="154" spans="1:33" s="168" customFormat="1" ht="13.5">
      <c r="A154" s="461"/>
      <c r="B154" s="294" t="s">
        <v>226</v>
      </c>
      <c r="C154" s="336">
        <v>1656728</v>
      </c>
      <c r="D154" s="250">
        <f t="shared" si="25"/>
        <v>4.9050032768408025E-2</v>
      </c>
      <c r="E154" s="179"/>
      <c r="F154" s="5">
        <v>4864</v>
      </c>
      <c r="G154" s="348">
        <f t="shared" si="23"/>
        <v>0.35714285714285721</v>
      </c>
      <c r="H154" s="3">
        <v>19200</v>
      </c>
      <c r="I154" s="358">
        <f t="shared" si="24"/>
        <v>0.19254658385093171</v>
      </c>
      <c r="J154" s="3"/>
      <c r="K154" s="348"/>
      <c r="L154" s="361">
        <v>720</v>
      </c>
      <c r="M154" s="358">
        <f t="shared" si="26"/>
        <v>0.43426294820717132</v>
      </c>
      <c r="N154" s="3">
        <v>13850</v>
      </c>
      <c r="O154" s="398">
        <f t="shared" si="18"/>
        <v>-0.14700991562480753</v>
      </c>
    </row>
    <row r="155" spans="1:33" s="168" customFormat="1" ht="13.5">
      <c r="A155" s="461"/>
      <c r="B155" s="294" t="s">
        <v>24</v>
      </c>
      <c r="C155" s="336">
        <v>1778317</v>
      </c>
      <c r="D155" s="250">
        <f t="shared" ref="D155:D161" si="27">C155/C143-1</f>
        <v>0.29468581800020521</v>
      </c>
      <c r="E155" s="179"/>
      <c r="F155" s="5">
        <v>3776</v>
      </c>
      <c r="G155" s="358">
        <f t="shared" si="23"/>
        <v>0.29670329670329676</v>
      </c>
      <c r="H155" s="3">
        <v>18100</v>
      </c>
      <c r="I155" s="366">
        <f t="shared" si="24"/>
        <v>0.4251968503937007</v>
      </c>
      <c r="J155" s="3"/>
      <c r="K155" s="358"/>
      <c r="L155" s="7">
        <v>646</v>
      </c>
      <c r="M155" s="366">
        <f t="shared" si="26"/>
        <v>0.30241935483870969</v>
      </c>
      <c r="N155" s="3">
        <v>18556</v>
      </c>
      <c r="O155" s="398">
        <f t="shared" si="18"/>
        <v>0.32685019663925635</v>
      </c>
    </row>
    <row r="156" spans="1:33" s="168" customFormat="1" ht="13.5">
      <c r="A156" s="461"/>
      <c r="B156" s="294" t="s">
        <v>25</v>
      </c>
      <c r="C156" s="336">
        <v>2086068</v>
      </c>
      <c r="D156" s="250">
        <f t="shared" si="27"/>
        <v>0.24516692810738405</v>
      </c>
      <c r="E156" s="179"/>
      <c r="F156" s="68">
        <v>5504</v>
      </c>
      <c r="G156" s="370">
        <f t="shared" si="23"/>
        <v>0.39837398373983746</v>
      </c>
      <c r="H156" s="3">
        <v>21200</v>
      </c>
      <c r="I156" s="393">
        <f t="shared" si="24"/>
        <v>0.33333333333333326</v>
      </c>
      <c r="J156" s="3"/>
      <c r="K156" s="366"/>
      <c r="L156" s="7">
        <v>680</v>
      </c>
      <c r="M156" s="366">
        <f t="shared" si="26"/>
        <v>0.30769230769230771</v>
      </c>
      <c r="N156" s="3">
        <v>21092</v>
      </c>
      <c r="O156" s="398">
        <f t="shared" si="18"/>
        <v>0.37667254095685659</v>
      </c>
    </row>
    <row r="157" spans="1:33" s="337" customFormat="1">
      <c r="A157" s="461"/>
      <c r="B157" s="294" t="s">
        <v>227</v>
      </c>
      <c r="C157" s="336">
        <v>2064241</v>
      </c>
      <c r="D157" s="250">
        <f t="shared" si="27"/>
        <v>0.1247743494207052</v>
      </c>
      <c r="E157" s="295"/>
      <c r="F157" s="289">
        <v>4368</v>
      </c>
      <c r="G157" s="393">
        <f t="shared" si="23"/>
        <v>0.32524271844660202</v>
      </c>
      <c r="H157" s="254">
        <v>21400</v>
      </c>
      <c r="I157" s="393">
        <f t="shared" si="24"/>
        <v>0.2814371257485031</v>
      </c>
      <c r="J157" s="254"/>
      <c r="K157" s="250"/>
      <c r="L157" s="256">
        <v>632</v>
      </c>
      <c r="M157" s="393">
        <f t="shared" si="26"/>
        <v>0.93272171253822633</v>
      </c>
      <c r="N157" s="254">
        <v>21528</v>
      </c>
      <c r="O157" s="398">
        <f t="shared" si="18"/>
        <v>1.5389786531430594</v>
      </c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</row>
    <row r="158" spans="1:33" s="337" customFormat="1">
      <c r="A158" s="461"/>
      <c r="B158" s="294" t="s">
        <v>27</v>
      </c>
      <c r="C158" s="336">
        <v>1904524</v>
      </c>
      <c r="D158" s="250">
        <f t="shared" si="27"/>
        <v>0.25989162885495842</v>
      </c>
      <c r="E158" s="295"/>
      <c r="F158" s="289">
        <v>5328</v>
      </c>
      <c r="G158" s="393">
        <f t="shared" si="23"/>
        <v>0.66500000000000004</v>
      </c>
      <c r="H158" s="254">
        <v>22200</v>
      </c>
      <c r="I158" s="397">
        <f t="shared" si="24"/>
        <v>0.43225806451612914</v>
      </c>
      <c r="J158" s="254"/>
      <c r="K158" s="250"/>
      <c r="L158" s="256">
        <v>609</v>
      </c>
      <c r="M158" s="393">
        <f t="shared" si="26"/>
        <v>0.13197026022304834</v>
      </c>
      <c r="N158" s="254"/>
      <c r="O158" s="250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</row>
    <row r="159" spans="1:33" s="337" customFormat="1">
      <c r="A159" s="461"/>
      <c r="B159" s="294" t="s">
        <v>28</v>
      </c>
      <c r="C159" s="336">
        <v>1865552</v>
      </c>
      <c r="D159" s="250">
        <f t="shared" si="27"/>
        <v>7.5055263964667995E-2</v>
      </c>
      <c r="E159" s="295"/>
      <c r="F159" s="289">
        <v>5840</v>
      </c>
      <c r="G159" s="397">
        <f t="shared" si="23"/>
        <v>0.10942249240121571</v>
      </c>
      <c r="H159" s="254">
        <v>22600</v>
      </c>
      <c r="I159" s="405">
        <f t="shared" si="24"/>
        <v>0.2021276595744681</v>
      </c>
      <c r="J159" s="254"/>
      <c r="K159" s="250"/>
      <c r="L159" s="256">
        <v>761</v>
      </c>
      <c r="M159" s="393">
        <f t="shared" si="26"/>
        <v>0.19466248037676609</v>
      </c>
      <c r="N159" s="254"/>
      <c r="O159" s="250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</row>
    <row r="160" spans="1:33" s="337" customFormat="1">
      <c r="A160" s="461"/>
      <c r="B160" s="294" t="s">
        <v>29</v>
      </c>
      <c r="C160" s="336">
        <v>1825701</v>
      </c>
      <c r="D160" s="250">
        <f t="shared" si="27"/>
        <v>0.12277384086594423</v>
      </c>
      <c r="E160" s="295"/>
      <c r="F160" s="289">
        <v>8752</v>
      </c>
      <c r="G160" s="397">
        <f t="shared" si="23"/>
        <v>0.27209302325581386</v>
      </c>
      <c r="H160" s="254">
        <v>26500</v>
      </c>
      <c r="I160" s="405">
        <f t="shared" si="24"/>
        <v>0.16228070175438591</v>
      </c>
      <c r="J160" s="254"/>
      <c r="K160" s="250"/>
      <c r="L160" s="256">
        <v>794</v>
      </c>
      <c r="M160" s="397">
        <f t="shared" si="26"/>
        <v>1.6645326504481434E-2</v>
      </c>
      <c r="N160" s="254"/>
      <c r="O160" s="250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</row>
    <row r="161" spans="1:33" s="337" customFormat="1" ht="17.25" thickBot="1">
      <c r="A161" s="461"/>
      <c r="B161" s="294" t="s">
        <v>30</v>
      </c>
      <c r="C161" s="336">
        <v>2007035</v>
      </c>
      <c r="D161" s="250">
        <f t="shared" si="27"/>
        <v>0.12646242524758455</v>
      </c>
      <c r="E161" s="295"/>
      <c r="F161" s="289">
        <v>9120</v>
      </c>
      <c r="G161" s="250">
        <f t="shared" si="23"/>
        <v>8.8495575221239076E-3</v>
      </c>
      <c r="H161" s="254"/>
      <c r="I161" s="250"/>
      <c r="J161" s="254"/>
      <c r="K161" s="250"/>
      <c r="L161" s="256">
        <v>800</v>
      </c>
      <c r="M161" s="250">
        <f t="shared" si="26"/>
        <v>0.24416796267496113</v>
      </c>
      <c r="N161" s="254"/>
      <c r="O161" s="250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</row>
    <row r="162" spans="1:33" ht="17.25" customHeight="1">
      <c r="A162" s="91" t="s">
        <v>192</v>
      </c>
      <c r="B162" s="92" t="s">
        <v>16</v>
      </c>
      <c r="C162" s="94">
        <v>5508242</v>
      </c>
      <c r="D162" s="93">
        <v>0.26900000000000002</v>
      </c>
      <c r="E162" s="179"/>
      <c r="F162" s="96" t="s">
        <v>17</v>
      </c>
      <c r="G162" s="95" t="s">
        <v>17</v>
      </c>
      <c r="H162" s="96" t="s">
        <v>17</v>
      </c>
      <c r="I162" s="95" t="s">
        <v>17</v>
      </c>
      <c r="J162" s="96">
        <v>586</v>
      </c>
      <c r="K162" s="95" t="s">
        <v>17</v>
      </c>
      <c r="L162" s="96">
        <v>3386</v>
      </c>
      <c r="M162" s="95" t="s">
        <v>17</v>
      </c>
      <c r="N162" s="96" t="s">
        <v>17</v>
      </c>
      <c r="O162" s="95" t="s">
        <v>17</v>
      </c>
    </row>
    <row r="163" spans="1:33" ht="17.25" customHeight="1">
      <c r="A163" s="14" t="s">
        <v>193</v>
      </c>
      <c r="B163" s="62" t="s">
        <v>16</v>
      </c>
      <c r="C163" s="5">
        <v>6084476</v>
      </c>
      <c r="D163" s="9">
        <f t="shared" ref="D163:D171" si="28">C163/C162-1</f>
        <v>0.10461305077010041</v>
      </c>
      <c r="E163" s="179"/>
      <c r="F163" s="100" t="s">
        <v>17</v>
      </c>
      <c r="G163" s="99" t="s">
        <v>17</v>
      </c>
      <c r="H163" s="100" t="s">
        <v>17</v>
      </c>
      <c r="I163" s="99" t="s">
        <v>17</v>
      </c>
      <c r="J163" s="100">
        <v>350</v>
      </c>
      <c r="K163" s="99">
        <f t="shared" ref="K163:K173" si="29">J163/J162-1</f>
        <v>-0.40273037542662116</v>
      </c>
      <c r="L163" s="100">
        <v>8143</v>
      </c>
      <c r="M163" s="99">
        <f t="shared" ref="M163:M170" si="30">L163/L162-1</f>
        <v>1.404902539870053</v>
      </c>
      <c r="N163" s="100" t="s">
        <v>17</v>
      </c>
      <c r="O163" s="99" t="s">
        <v>17</v>
      </c>
    </row>
    <row r="164" spans="1:33" ht="17.25" customHeight="1">
      <c r="A164" s="14" t="s">
        <v>32</v>
      </c>
      <c r="B164" s="62" t="s">
        <v>16</v>
      </c>
      <c r="C164" s="5">
        <v>7123407</v>
      </c>
      <c r="D164" s="9">
        <f t="shared" si="28"/>
        <v>0.17075110494313717</v>
      </c>
      <c r="E164" s="179"/>
      <c r="F164" s="100" t="s">
        <v>17</v>
      </c>
      <c r="G164" s="99" t="s">
        <v>17</v>
      </c>
      <c r="H164" s="100" t="s">
        <v>17</v>
      </c>
      <c r="I164" s="99" t="s">
        <v>17</v>
      </c>
      <c r="J164" s="100">
        <v>497</v>
      </c>
      <c r="K164" s="99">
        <f t="shared" si="29"/>
        <v>0.41999999999999993</v>
      </c>
      <c r="L164" s="100">
        <v>6992</v>
      </c>
      <c r="M164" s="99">
        <f t="shared" si="30"/>
        <v>-0.14134839739653693</v>
      </c>
      <c r="N164" s="100" t="s">
        <v>17</v>
      </c>
      <c r="O164" s="99" t="s">
        <v>17</v>
      </c>
    </row>
    <row r="165" spans="1:33" ht="17.25" customHeight="1">
      <c r="A165" s="14" t="s">
        <v>33</v>
      </c>
      <c r="B165" s="62" t="s">
        <v>16</v>
      </c>
      <c r="C165" s="5">
        <v>7086133</v>
      </c>
      <c r="D165" s="9">
        <f t="shared" si="28"/>
        <v>-5.2326084975911069E-3</v>
      </c>
      <c r="E165" s="179"/>
      <c r="F165" s="100" t="s">
        <v>17</v>
      </c>
      <c r="G165" s="99" t="s">
        <v>17</v>
      </c>
      <c r="H165" s="100" t="s">
        <v>17</v>
      </c>
      <c r="I165" s="99" t="s">
        <v>17</v>
      </c>
      <c r="J165" s="100">
        <v>312</v>
      </c>
      <c r="K165" s="99">
        <f t="shared" si="29"/>
        <v>-0.37223340040241448</v>
      </c>
      <c r="L165" s="100">
        <v>8380</v>
      </c>
      <c r="M165" s="99">
        <f t="shared" si="30"/>
        <v>0.19851258581235709</v>
      </c>
      <c r="N165" s="100" t="s">
        <v>17</v>
      </c>
      <c r="O165" s="99" t="s">
        <v>17</v>
      </c>
    </row>
    <row r="166" spans="1:33" ht="17.25" customHeight="1">
      <c r="A166" s="14" t="s">
        <v>18</v>
      </c>
      <c r="B166" s="62" t="s">
        <v>16</v>
      </c>
      <c r="C166" s="5">
        <v>8825585</v>
      </c>
      <c r="D166" s="9">
        <f t="shared" si="28"/>
        <v>0.24547267176610998</v>
      </c>
      <c r="E166" s="179"/>
      <c r="F166" s="5">
        <f>SUM(F6:F17)</f>
        <v>113908</v>
      </c>
      <c r="G166" s="99" t="s">
        <v>17</v>
      </c>
      <c r="H166" s="5">
        <f>SUM(H6:H17)</f>
        <v>211800</v>
      </c>
      <c r="I166" s="99" t="s">
        <v>17</v>
      </c>
      <c r="J166" s="5">
        <f>SUM(J6:J17)</f>
        <v>5673</v>
      </c>
      <c r="K166" s="99">
        <f t="shared" si="29"/>
        <v>17.182692307692307</v>
      </c>
      <c r="L166" s="5">
        <v>9132</v>
      </c>
      <c r="M166" s="99">
        <f t="shared" si="30"/>
        <v>8.9737470167064348E-2</v>
      </c>
      <c r="N166" s="5">
        <f>SUM(N6:N17)</f>
        <v>68192</v>
      </c>
      <c r="O166" s="99" t="s">
        <v>17</v>
      </c>
    </row>
    <row r="167" spans="1:33" ht="17.25" customHeight="1">
      <c r="A167" s="14" t="s">
        <v>19</v>
      </c>
      <c r="B167" s="62" t="s">
        <v>16</v>
      </c>
      <c r="C167" s="5">
        <f>SUM(C18:C29)</f>
        <v>10080143</v>
      </c>
      <c r="D167" s="9">
        <f t="shared" si="28"/>
        <v>0.14215012375950153</v>
      </c>
      <c r="E167" s="179"/>
      <c r="F167" s="5">
        <f>SUM(F18:F29)</f>
        <v>112005</v>
      </c>
      <c r="G167" s="9">
        <f>F167/F166-1</f>
        <v>-1.6706464866383386E-2</v>
      </c>
      <c r="H167" s="5">
        <f>SUM(H18:H29)</f>
        <v>250500</v>
      </c>
      <c r="I167" s="9">
        <f>(H167-H166)/H166</f>
        <v>0.18271954674220964</v>
      </c>
      <c r="J167" s="5">
        <f>SUM(J18:J29)</f>
        <v>2169</v>
      </c>
      <c r="K167" s="99">
        <f t="shared" si="29"/>
        <v>-0.61766261237440512</v>
      </c>
      <c r="L167" s="5">
        <v>8775</v>
      </c>
      <c r="M167" s="99">
        <f t="shared" si="30"/>
        <v>-3.9093298291721368E-2</v>
      </c>
      <c r="N167" s="5">
        <f>SUM(N18:N29)</f>
        <v>69952</v>
      </c>
      <c r="O167" s="9">
        <f>(N167-N166)/N166</f>
        <v>2.5809479117785077E-2</v>
      </c>
    </row>
    <row r="168" spans="1:33" ht="17.25" customHeight="1">
      <c r="A168" s="14" t="s">
        <v>20</v>
      </c>
      <c r="B168" s="62" t="s">
        <v>16</v>
      </c>
      <c r="C168" s="5">
        <f>SUM(C30:C41)</f>
        <v>11609879</v>
      </c>
      <c r="D168" s="9">
        <f t="shared" si="28"/>
        <v>0.15175737090237718</v>
      </c>
      <c r="E168" s="179"/>
      <c r="F168" s="5">
        <f>SUM(F30:F41)</f>
        <v>111361</v>
      </c>
      <c r="G168" s="9">
        <f>(F168-SUM(F18:F29))/SUM(F18:F29)</f>
        <v>-5.7497433150305787E-3</v>
      </c>
      <c r="H168" s="5">
        <f>SUM(H30:H41)</f>
        <v>260900</v>
      </c>
      <c r="I168" s="9">
        <f>(H168-SUM(H18:H29))/SUM(H18:H29)</f>
        <v>4.1516966067864272E-2</v>
      </c>
      <c r="J168" s="5">
        <f>SUM(J30:J41)</f>
        <v>11756</v>
      </c>
      <c r="K168" s="99">
        <f t="shared" si="29"/>
        <v>4.4200092208390966</v>
      </c>
      <c r="L168" s="5">
        <v>11257</v>
      </c>
      <c r="M168" s="99">
        <f t="shared" si="30"/>
        <v>0.28284900284900294</v>
      </c>
      <c r="N168" s="5">
        <f>SUM(N30:N41)</f>
        <v>82891</v>
      </c>
      <c r="O168" s="9">
        <f>(N168-SUM(N18:N29))/SUM(N18:N29)</f>
        <v>0.1849696935041171</v>
      </c>
    </row>
    <row r="169" spans="1:33" ht="17.25" customHeight="1">
      <c r="A169" s="14" t="s">
        <v>42</v>
      </c>
      <c r="B169" s="62" t="s">
        <v>16</v>
      </c>
      <c r="C169" s="5">
        <f>SUM(SUM(C42:C53))</f>
        <v>13324977</v>
      </c>
      <c r="D169" s="9">
        <f t="shared" si="28"/>
        <v>0.147727465548952</v>
      </c>
      <c r="E169" s="179"/>
      <c r="F169" s="100">
        <f>SUM(F42:F53)</f>
        <v>99453</v>
      </c>
      <c r="G169" s="9">
        <f>(F169-SUM(F30:F41))/SUM(F30:F41)</f>
        <v>-0.10693151103168973</v>
      </c>
      <c r="H169" s="100">
        <f>SUM(H42:H53)</f>
        <v>253200</v>
      </c>
      <c r="I169" s="9">
        <f>(H169-SUM(H30:H41))/SUM(H30:H41)</f>
        <v>-2.9513223457263319E-2</v>
      </c>
      <c r="J169" s="100">
        <f>SUM(J42:J53)</f>
        <v>14342</v>
      </c>
      <c r="K169" s="99">
        <f t="shared" si="29"/>
        <v>0.21997277985709429</v>
      </c>
      <c r="L169" s="100">
        <v>9984</v>
      </c>
      <c r="M169" s="99">
        <f t="shared" si="30"/>
        <v>-0.11308519143643958</v>
      </c>
      <c r="N169" s="100">
        <f>SUM(N42:N53)</f>
        <v>108319</v>
      </c>
      <c r="O169" s="9">
        <f>(N169-SUM(N30:N41))/SUM(N30:N41)</f>
        <v>0.3067643049305715</v>
      </c>
    </row>
    <row r="170" spans="1:33" ht="17.25" customHeight="1">
      <c r="A170" s="14" t="s">
        <v>183</v>
      </c>
      <c r="B170" s="62" t="s">
        <v>194</v>
      </c>
      <c r="C170" s="5">
        <f>SUM(C54:C65)</f>
        <v>11996094</v>
      </c>
      <c r="D170" s="9">
        <f t="shared" si="28"/>
        <v>-9.9728727486734114E-2</v>
      </c>
      <c r="E170" s="179"/>
      <c r="F170" s="5">
        <f>SUM(F54:F65)</f>
        <v>79061</v>
      </c>
      <c r="G170" s="9">
        <f>F170/F169-1</f>
        <v>-0.20504157742853413</v>
      </c>
      <c r="H170" s="5">
        <f>SUM(H54:H65)</f>
        <v>218300</v>
      </c>
      <c r="I170" s="9">
        <f>H170/H169-1</f>
        <v>-0.13783570300157977</v>
      </c>
      <c r="J170" s="5">
        <f>SUM(J54:J65)</f>
        <v>14186</v>
      </c>
      <c r="K170" s="99">
        <f t="shared" si="29"/>
        <v>-1.0877144052433452E-2</v>
      </c>
      <c r="L170" s="5">
        <v>7421</v>
      </c>
      <c r="M170" s="99">
        <f t="shared" si="30"/>
        <v>-0.25671073717948723</v>
      </c>
      <c r="N170" s="5">
        <f>SUM(N54:N65)</f>
        <v>111116</v>
      </c>
      <c r="O170" s="9">
        <f>N170/N169-1</f>
        <v>2.5821877971547114E-2</v>
      </c>
    </row>
    <row r="171" spans="1:33" ht="17.25" customHeight="1">
      <c r="A171" s="14" t="s">
        <v>184</v>
      </c>
      <c r="B171" s="62" t="s">
        <v>194</v>
      </c>
      <c r="C171" s="5">
        <f>SUM(C66:C77)</f>
        <v>9494111</v>
      </c>
      <c r="D171" s="9">
        <f t="shared" si="28"/>
        <v>-0.20856647171987819</v>
      </c>
      <c r="E171" s="179"/>
      <c r="F171" s="5">
        <f>SUM(F66:F77)</f>
        <v>52921</v>
      </c>
      <c r="G171" s="9">
        <f>F171/F170-1</f>
        <v>-0.33063077876576319</v>
      </c>
      <c r="H171" s="5">
        <f>SUM(H66:H77)</f>
        <v>181000</v>
      </c>
      <c r="I171" s="9">
        <f>H171/H170-1</f>
        <v>-0.17086578103527261</v>
      </c>
      <c r="J171" s="5">
        <f>SUM(J66:J77)</f>
        <v>13009</v>
      </c>
      <c r="K171" s="99">
        <f t="shared" si="29"/>
        <v>-8.2969124488932788E-2</v>
      </c>
      <c r="L171" s="5">
        <v>4904</v>
      </c>
      <c r="M171" s="99">
        <f>L171/L170-1</f>
        <v>-0.33917261824551947</v>
      </c>
      <c r="N171" s="5">
        <f>SUM(N66:N77)</f>
        <v>89132</v>
      </c>
      <c r="O171" s="9">
        <f>N171/N170-1</f>
        <v>-0.1978472947190324</v>
      </c>
      <c r="P171" s="297"/>
      <c r="Q171" s="297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297"/>
      <c r="AC171" s="297"/>
      <c r="AD171" s="297"/>
      <c r="AE171" s="297"/>
      <c r="AF171" s="297"/>
      <c r="AG171" s="297"/>
    </row>
    <row r="172" spans="1:33" ht="17.25" customHeight="1">
      <c r="A172" s="14" t="s">
        <v>185</v>
      </c>
      <c r="B172" s="62" t="s">
        <v>194</v>
      </c>
      <c r="C172" s="5">
        <f>SUM(C78:C89)</f>
        <v>12488364</v>
      </c>
      <c r="D172" s="9">
        <f>C172/SUM(C66:C77)-1</f>
        <v>0.31538002873570781</v>
      </c>
      <c r="E172" s="179"/>
      <c r="F172" s="5">
        <f>SUM(F78:F89)</f>
        <v>67309</v>
      </c>
      <c r="G172" s="9">
        <f>F172/SUM(F66:F77)-1</f>
        <v>0.27187694865932244</v>
      </c>
      <c r="H172" s="5">
        <f>SUM(H78:H89)</f>
        <v>214000</v>
      </c>
      <c r="I172" s="9">
        <f>H172/SUM(H66:H77)-1</f>
        <v>0.18232044198895037</v>
      </c>
      <c r="J172" s="5">
        <f>SUM(J78:J89)</f>
        <v>15144</v>
      </c>
      <c r="K172" s="99">
        <f t="shared" si="29"/>
        <v>0.16411714966561619</v>
      </c>
      <c r="L172" s="5">
        <v>6327</v>
      </c>
      <c r="M172" s="99">
        <f>L172/L171-1</f>
        <v>0.29017128874388254</v>
      </c>
      <c r="N172" s="5">
        <f>SUM(N78:N89)</f>
        <v>115773</v>
      </c>
      <c r="O172" s="9">
        <f>N172/SUM(N66:N77)-1</f>
        <v>0.29889377552394203</v>
      </c>
    </row>
    <row r="173" spans="1:33" ht="17.25" customHeight="1">
      <c r="A173" s="14" t="s">
        <v>187</v>
      </c>
      <c r="B173" s="62" t="s">
        <v>194</v>
      </c>
      <c r="C173" s="68">
        <v>12693733</v>
      </c>
      <c r="D173" s="122">
        <f>C173/SUM(C78:C89)-1</f>
        <v>1.6444828161639169E-2</v>
      </c>
      <c r="E173" s="179"/>
      <c r="F173" s="5">
        <f>SUM(F90:F101)</f>
        <v>52787</v>
      </c>
      <c r="G173" s="9">
        <f>F173/SUM(F78:F89)-1</f>
        <v>-0.21575123683311292</v>
      </c>
      <c r="H173" s="5">
        <f>SUM(H90:H101)</f>
        <v>198000</v>
      </c>
      <c r="I173" s="9">
        <f>H173/SUM(H78:H89)-1</f>
        <v>-7.4766355140186924E-2</v>
      </c>
      <c r="J173" s="5">
        <f>SUM(J90:J101)</f>
        <v>15681</v>
      </c>
      <c r="K173" s="9">
        <f t="shared" si="29"/>
        <v>3.5459587955626093E-2</v>
      </c>
      <c r="L173" s="5">
        <f>SUM(L90:L101)</f>
        <v>5101</v>
      </c>
      <c r="M173" s="9">
        <f>L173/L172-1</f>
        <v>-0.19377272008850954</v>
      </c>
      <c r="N173" s="5">
        <f>SUM(N90:N101)</f>
        <v>107503</v>
      </c>
      <c r="O173" s="9">
        <f>N173/SUM(N78:N89)-1</f>
        <v>-7.1432890224836565E-2</v>
      </c>
    </row>
    <row r="174" spans="1:33" ht="17.25" customHeight="1">
      <c r="A174" s="14" t="s">
        <v>188</v>
      </c>
      <c r="B174" s="62" t="s">
        <v>194</v>
      </c>
      <c r="C174" s="68">
        <f>SUM(C102:C113)</f>
        <v>13736976</v>
      </c>
      <c r="D174" s="122">
        <f>C174/SUM(C90:C101)-1</f>
        <v>8.2185673828179651E-2</v>
      </c>
      <c r="E174" s="179"/>
      <c r="F174" s="5">
        <f>SUM(F102:F113)</f>
        <v>52896</v>
      </c>
      <c r="G174" s="9">
        <f>F174/SUM(F90:F101)-1</f>
        <v>2.0649023433800817E-3</v>
      </c>
      <c r="H174" s="5">
        <f>SUM(H102:H113)</f>
        <v>196800</v>
      </c>
      <c r="I174" s="9">
        <f>H174/SUM(H90:H101)-1</f>
        <v>-6.0606060606060996E-3</v>
      </c>
      <c r="J174" s="5">
        <f>SUM(J102:J113)</f>
        <v>19465</v>
      </c>
      <c r="K174" s="9">
        <f>J174/SUM(J90:J101)-1</f>
        <v>0.24131114087111794</v>
      </c>
      <c r="L174" s="5">
        <f>SUM(L102:L113)</f>
        <v>4404</v>
      </c>
      <c r="M174" s="9">
        <f>L174/SUM(L90:L101)-1</f>
        <v>-0.13663987453440507</v>
      </c>
      <c r="N174" s="5">
        <f>SUM(N102:N113)</f>
        <v>129394</v>
      </c>
      <c r="O174" s="9">
        <f>N174/SUM(N90:N101)-1</f>
        <v>0.20363152656204941</v>
      </c>
    </row>
    <row r="175" spans="1:33" ht="17.25" customHeight="1" thickBot="1">
      <c r="A175" s="14" t="s">
        <v>189</v>
      </c>
      <c r="B175" s="62" t="s">
        <v>194</v>
      </c>
      <c r="C175" s="68">
        <f>SUM(C114:C125)</f>
        <v>14846485</v>
      </c>
      <c r="D175" s="122">
        <f>C175/SUM(C102:C113)-1</f>
        <v>8.0768067149567635E-2</v>
      </c>
      <c r="E175" s="179"/>
      <c r="F175" s="5">
        <f>SUM(F114:F125)</f>
        <v>50992</v>
      </c>
      <c r="G175" s="9">
        <f>F175/SUM(F102:F113)-1</f>
        <v>-3.59951603145795E-2</v>
      </c>
      <c r="H175" s="5">
        <f>SUM(H114:H125)</f>
        <v>197500</v>
      </c>
      <c r="I175" s="9">
        <f>H175/SUM(H102:H113)-1</f>
        <v>3.5569105691057867E-3</v>
      </c>
      <c r="J175" s="5">
        <f>SUM(J114:J125)</f>
        <v>16871</v>
      </c>
      <c r="K175" s="9">
        <f>J175/SUM(J102:J113)-1</f>
        <v>-0.13326483431800673</v>
      </c>
      <c r="L175" s="5">
        <f>SUM(L114:L125)</f>
        <v>4225</v>
      </c>
      <c r="M175" s="9">
        <f>L175/SUM(L102:L113)-1</f>
        <v>-4.0644868301544013E-2</v>
      </c>
      <c r="N175" s="5">
        <f>SUM(N114:N125)</f>
        <v>139958</v>
      </c>
      <c r="O175" s="9">
        <f>N175/SUM(N102:N113)-1</f>
        <v>8.1642116326877678E-2</v>
      </c>
    </row>
    <row r="176" spans="1:33" s="297" customFormat="1" ht="17.25" customHeight="1" thickBot="1">
      <c r="A176" s="104" t="s">
        <v>195</v>
      </c>
      <c r="B176" s="105" t="s">
        <v>194</v>
      </c>
      <c r="C176" s="123">
        <f>SUM(C126:C137)</f>
        <v>16080684</v>
      </c>
      <c r="D176" s="124">
        <f>C176/SUM(C114:C125)-1</f>
        <v>8.3130720840656869E-2</v>
      </c>
      <c r="E176" s="299"/>
      <c r="F176" s="123">
        <f>SUM(F126:F137)</f>
        <v>55488</v>
      </c>
      <c r="G176" s="124">
        <f>F176/SUM(F114:F125)-1</f>
        <v>8.8170693442108483E-2</v>
      </c>
      <c r="H176" s="123">
        <f>SUM(H126:H137)</f>
        <v>204500</v>
      </c>
      <c r="I176" s="124">
        <f>H176/SUM(H114:H125)-1</f>
        <v>3.5443037974683511E-2</v>
      </c>
      <c r="J176" s="123">
        <f>SUM(J126:J137)</f>
        <v>4900</v>
      </c>
      <c r="K176" s="124">
        <f>J176/SUM(J114:J117)-1</f>
        <v>-0.14095371669004209</v>
      </c>
      <c r="L176" s="123">
        <f>SUM(L126:L137)</f>
        <v>5676</v>
      </c>
      <c r="M176" s="124">
        <f>L176/SUM(L114:L125)-1</f>
        <v>0.34343195266272186</v>
      </c>
      <c r="N176" s="123">
        <f>SUM(N126:N137)</f>
        <v>142081</v>
      </c>
      <c r="O176" s="124">
        <f>N176/SUM(N114:N125)-1</f>
        <v>1.5168836365195171E-2</v>
      </c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</row>
    <row r="177" spans="1:15" ht="17.25" customHeight="1" thickBot="1">
      <c r="A177" s="104" t="s">
        <v>196</v>
      </c>
      <c r="B177" s="105" t="s">
        <v>194</v>
      </c>
      <c r="C177" s="123">
        <f>SUM(C138:C149)</f>
        <v>19310430</v>
      </c>
      <c r="D177" s="124">
        <f>C177/C176-1</f>
        <v>0.20084630728394393</v>
      </c>
      <c r="E177" s="179"/>
      <c r="F177" s="123">
        <f>SUM(F138:F149)</f>
        <v>64992</v>
      </c>
      <c r="G177" s="124">
        <f>F177/F176-1</f>
        <v>0.17128027681660907</v>
      </c>
      <c r="H177" s="123">
        <f>SUM(H138:H149)</f>
        <v>230000</v>
      </c>
      <c r="I177" s="124">
        <f>H177/H176-1</f>
        <v>0.12469437652811743</v>
      </c>
      <c r="J177" s="123"/>
      <c r="K177" s="124"/>
      <c r="L177" s="123">
        <f>SUM(L138:L149)</f>
        <v>6700</v>
      </c>
      <c r="M177" s="124">
        <f>L177/L176-1</f>
        <v>0.18040873854827333</v>
      </c>
      <c r="N177" s="123">
        <f>SUM(N138:N149)</f>
        <v>182622</v>
      </c>
      <c r="O177" s="124">
        <f>N177/N176-1</f>
        <v>0.28533723720976067</v>
      </c>
    </row>
    <row r="178" spans="1:15" ht="17.25" customHeight="1" thickBot="1">
      <c r="A178" s="104" t="s">
        <v>219</v>
      </c>
      <c r="B178" s="105" t="s">
        <v>222</v>
      </c>
      <c r="C178" s="123">
        <f>SUM(C150:C161)</f>
        <v>22383190</v>
      </c>
      <c r="D178" s="124">
        <f>C178/SUM(C138:C149)-1</f>
        <v>0.15912436957644127</v>
      </c>
      <c r="E178" s="179"/>
      <c r="F178" s="123">
        <f>IFERROR(SUM(F150:F161),"-")</f>
        <v>80128</v>
      </c>
      <c r="G178" s="124">
        <f>IFERROR(F178/SUM(F138:F149)-1,"-")</f>
        <v>0.23289020187099951</v>
      </c>
      <c r="H178" s="123">
        <f>IFERROR(SUM(H150:H161),"-")</f>
        <v>254200</v>
      </c>
      <c r="I178" s="124">
        <f>IFERROR(H178/SUM(H138:H148)-1,"-")</f>
        <v>0.27163581790895441</v>
      </c>
      <c r="J178" s="123"/>
      <c r="K178" s="124"/>
      <c r="L178" s="123">
        <f>IFERROR(SUM(L150:L161),"-")</f>
        <v>8071</v>
      </c>
      <c r="M178" s="124">
        <f>IFERROR(L178/SUM(L138:L149)-1,"-")</f>
        <v>0.2046268656716419</v>
      </c>
      <c r="N178" s="123">
        <f>IFERROR(SUM(N150:N161),"-")</f>
        <v>132096</v>
      </c>
      <c r="O178" s="124">
        <f>IFERROR(N178/SUM(N138:N145)-1,"-")</f>
        <v>9.1242534138503695E-2</v>
      </c>
    </row>
    <row r="179" spans="1:15">
      <c r="I179" s="177"/>
    </row>
  </sheetData>
  <mergeCells count="23">
    <mergeCell ref="N3:O3"/>
    <mergeCell ref="C2:D2"/>
    <mergeCell ref="A66:A77"/>
    <mergeCell ref="A54:A65"/>
    <mergeCell ref="C1:K1"/>
    <mergeCell ref="A1:B1"/>
    <mergeCell ref="A2:B5"/>
    <mergeCell ref="A42:A53"/>
    <mergeCell ref="A30:A41"/>
    <mergeCell ref="A18:A29"/>
    <mergeCell ref="A6:A17"/>
    <mergeCell ref="C3:D3"/>
    <mergeCell ref="A150:A161"/>
    <mergeCell ref="J3:K3"/>
    <mergeCell ref="L3:M3"/>
    <mergeCell ref="H3:I3"/>
    <mergeCell ref="F3:G3"/>
    <mergeCell ref="A138:A149"/>
    <mergeCell ref="A126:A137"/>
    <mergeCell ref="A114:A125"/>
    <mergeCell ref="A102:A113"/>
    <mergeCell ref="A90:A101"/>
    <mergeCell ref="A78:A89"/>
  </mergeCells>
  <phoneticPr fontId="2" type="noConversion"/>
  <pageMargins left="0.15748031496062992" right="0.15748031496062992" top="0.39370078740157483" bottom="0" header="0.11811023622047245" footer="0"/>
  <pageSetup paperSize="9" scale="58" orientation="landscape" r:id="rId1"/>
  <headerFooter alignWithMargins="0"/>
  <ignoredErrors>
    <ignoredError sqref="C167:E175 F167 F166:J166 J167 K166:N167 N176 K168:N169 F173:F175 J173:J175 J168:J172 F168:F172 O170:O172 O168:O169 O173:O175" formulaRange="1"/>
    <ignoredError sqref="I167 G167:H167 K173:M175 K170:N172 N173:N175 I173:I175 G173:H175 G168:H172 I168:I172 F176:G176 L176:M176 C176:D176 J176" formula="1" formulaRange="1"/>
    <ignoredError sqref="E17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9</vt:i4>
      </vt:variant>
    </vt:vector>
  </HeadingPairs>
  <TitlesOfParts>
    <vt:vector size="14" baseType="lpstr">
      <vt:lpstr>Asia</vt:lpstr>
      <vt:lpstr>Africa</vt:lpstr>
      <vt:lpstr>Europe</vt:lpstr>
      <vt:lpstr>America</vt:lpstr>
      <vt:lpstr>Oceania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2016-06-28T01:36:16Z</cp:lastPrinted>
  <dcterms:created xsi:type="dcterms:W3CDTF">2006-11-22T07:34:12Z</dcterms:created>
  <dcterms:modified xsi:type="dcterms:W3CDTF">2017-02-02T08:53:45Z</dcterms:modified>
</cp:coreProperties>
</file>